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8.xml"/>
  <Override ContentType="application/vnd.openxmlformats-officedocument.spreadsheetml.worksheet+xml" PartName="/xl/worksheets/sheet6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5.xml"/>
  <Override ContentType="application/vnd.openxmlformats-officedocument.spreadsheetml.worksheet+xml" PartName="/xl/worksheets/sheet7.xml"/>
  <Override ContentType="application/vnd.openxmlformats-officedocument.spreadsheetml.worksheet+xml" PartName="/xl/worksheets/sheet4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drawing+xml" PartName="/xl/drawings/worksheetdrawing6.xml"/>
  <Override ContentType="application/vnd.openxmlformats-officedocument.drawing+xml" PartName="/xl/drawings/worksheetdrawing2.xml"/>
  <Override ContentType="application/vnd.openxmlformats-officedocument.drawing+xml" PartName="/xl/drawings/worksheetdrawing3.xml"/>
  <Override ContentType="application/vnd.openxmlformats-officedocument.drawing+xml" PartName="/xl/drawings/worksheetdrawing4.xml"/>
  <Override ContentType="application/vnd.openxmlformats-officedocument.drawing+xml" PartName="/xl/drawings/worksheetdrawing5.xml"/>
  <Override ContentType="application/vnd.openxmlformats-officedocument.drawing+xml" PartName="/xl/drawings/worksheetdrawing1.xml"/>
  <Override ContentType="application/vnd.openxmlformats-officedocument.drawing+xml" PartName="/xl/drawings/worksheetdrawing8.xml"/>
  <Override ContentType="application/vnd.openxmlformats-officedocument.drawing+xml" PartName="/xl/drawings/worksheetdrawing7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Que2" sheetId="1" r:id="rId4"/>
    <sheet state="visible" name="DNKN" sheetId="2" r:id="rId5"/>
    <sheet state="visible" name="CMG" sheetId="3" r:id="rId6"/>
    <sheet state="visible" name="Que5" sheetId="4" r:id="rId7"/>
    <sheet state="visible" name="Que6" sheetId="5" r:id="rId8"/>
    <sheet state="visible" name="Que8" sheetId="6" r:id="rId9"/>
    <sheet state="visible" name="Que9" sheetId="7" r:id="rId10"/>
    <sheet state="visible" name="Que10" sheetId="8" r:id="rId11"/>
  </sheets>
  <definedNames/>
  <calcPr/>
</workbook>
</file>

<file path=xl/sharedStrings.xml><?xml version="1.0" encoding="utf-8"?>
<sst xmlns="http://schemas.openxmlformats.org/spreadsheetml/2006/main" count="264" uniqueCount="225">
  <si>
    <t>Formula</t>
  </si>
  <si>
    <t>Dunkin Brands Group, Inc. (DNKN)</t>
  </si>
  <si>
    <t>Chipotle Mexican Grill, Inc. (CMG)</t>
  </si>
  <si>
    <t>Cash Conversion Cycle</t>
  </si>
  <si>
    <t>DIO + DSO - DPO</t>
  </si>
  <si>
    <t>DIO - Days Inventory Outstanding</t>
  </si>
  <si>
    <t>Average Inventory/Cost of Sales × 365</t>
  </si>
  <si>
    <t>DSO – Days Sales Outstanding</t>
  </si>
  <si>
    <t>Average Accounts Receivable/Total Credit Sales × 365</t>
  </si>
  <si>
    <t>DPO – Days Payable Outstanding</t>
  </si>
  <si>
    <t>Average Accounts Payable/Cost of Sales × 365</t>
  </si>
  <si>
    <t>Liquidity</t>
  </si>
  <si>
    <t>Current Ratio</t>
  </si>
  <si>
    <t>Current Assets/Current Liabilities</t>
  </si>
  <si>
    <t>Quick Ratio</t>
  </si>
  <si>
    <t>(Current Assets – Inventory)/Current Liabilities</t>
  </si>
  <si>
    <t>Long Term Financing (Long Term Debt)</t>
  </si>
  <si>
    <t>Short Term Financing (Current Liabilities)</t>
  </si>
  <si>
    <t>Consolidated Statements of Operations - USD ($)</t>
  </si>
  <si>
    <t>12 Months Ended</t>
  </si>
  <si>
    <t>$ in Thousands</t>
  </si>
  <si>
    <t>Dec. 30, 2017</t>
  </si>
  <si>
    <t>Dec. 31, 2016</t>
  </si>
  <si>
    <t>Dec. 26, 2015</t>
  </si>
  <si>
    <t>Revenues:</t>
  </si>
  <si>
    <t>Franchise fees and royalty income</t>
  </si>
  <si>
    <t>Rental income</t>
  </si>
  <si>
    <t>Sales of ice cream and other products</t>
  </si>
  <si>
    <t>Sales at company-operated restaurants</t>
  </si>
  <si>
    <t>Other revenues</t>
  </si>
  <si>
    <t>Total revenues</t>
  </si>
  <si>
    <t>Operating costs and expenses:</t>
  </si>
  <si>
    <t>Occupancy expenses—franchised restaurants</t>
  </si>
  <si>
    <t>Cost of ice cream and other products</t>
  </si>
  <si>
    <t>Company-operated restaurant expenses</t>
  </si>
  <si>
    <t>General and administrative expenses, net</t>
  </si>
  <si>
    <t>Depreciation</t>
  </si>
  <si>
    <t>Amortization of other intangible assets</t>
  </si>
  <si>
    <t>Long-lived asset impairment charges</t>
  </si>
  <si>
    <t>Total operating costs and expenses</t>
  </si>
  <si>
    <t>Equity Method Investment, Summarized Financial Information, Income Statement [Abstract]</t>
  </si>
  <si>
    <t>Net income, excluding impairment</t>
  </si>
  <si>
    <t>Impairment charge</t>
  </si>
  <si>
    <t>Net income (loss) of equity method investments</t>
  </si>
  <si>
    <t>Other operating income, net</t>
  </si>
  <si>
    <t>Operating income</t>
  </si>
  <si>
    <t>Other income (expense), net:</t>
  </si>
  <si>
    <t>Interest income</t>
  </si>
  <si>
    <t>Interest expense</t>
  </si>
  <si>
    <t>Loss on debt extinguishment and refinancing transactions</t>
  </si>
  <si>
    <t>Other gains (losses), net</t>
  </si>
  <si>
    <t>Total other expense, net</t>
  </si>
  <si>
    <t>Income before income taxes</t>
  </si>
  <si>
    <t>Provision (benefit) for income taxes</t>
  </si>
  <si>
    <t>Net income including noncontrolling interests</t>
  </si>
  <si>
    <t>Net income attributable to noncontrolling interests</t>
  </si>
  <si>
    <t>Net income attributable to Dunkin’ Brands</t>
  </si>
  <si>
    <t>Earnings per share:</t>
  </si>
  <si>
    <t>Common-basic (in dollars per share)</t>
  </si>
  <si>
    <t>Common-diluted (in dollars per share)</t>
  </si>
  <si>
    <t>Cash dividends declared per common share (in dollars per share)</t>
  </si>
  <si>
    <t>Consolidated Balance Sheets - USD ($)</t>
  </si>
  <si>
    <t>Current assets:</t>
  </si>
  <si>
    <t>Cash and cash equivalents</t>
  </si>
  <si>
    <t>Restricted cash</t>
  </si>
  <si>
    <t>Accounts receivable, net</t>
  </si>
  <si>
    <t>Notes and other receivables, net</t>
  </si>
  <si>
    <t>Restricted assets of advertising funds</t>
  </si>
  <si>
    <t>Prepaid income taxes</t>
  </si>
  <si>
    <t>Prepaid expenses and other current assets</t>
  </si>
  <si>
    <t>Total current assets</t>
  </si>
  <si>
    <t>Property and equipment, net</t>
  </si>
  <si>
    <t>Equity method investments</t>
  </si>
  <si>
    <t>Goodwill</t>
  </si>
  <si>
    <t>Other intangible assets, net</t>
  </si>
  <si>
    <t>Other assets</t>
  </si>
  <si>
    <t>Total assets</t>
  </si>
  <si>
    <t>Current liabilities:</t>
  </si>
  <si>
    <t>Current portion of long-term debt</t>
  </si>
  <si>
    <t>Capital lease obligations</t>
  </si>
  <si>
    <t>Accounts payable</t>
  </si>
  <si>
    <t>Liabilities of advertising funds</t>
  </si>
  <si>
    <t>Deferred income</t>
  </si>
  <si>
    <t>Other current liabilities</t>
  </si>
  <si>
    <t>Total current liabilities</t>
  </si>
  <si>
    <t>Long-term debt, net</t>
  </si>
  <si>
    <t>Unfavorable operating leases acquired</t>
  </si>
  <si>
    <t>Deferred income taxes, net</t>
  </si>
  <si>
    <t>Other long-term liabilities</t>
  </si>
  <si>
    <t>Total long-term liabilities</t>
  </si>
  <si>
    <t>Commitments and contingencies (note 17)</t>
  </si>
  <si>
    <t>Stockholders’ equity (deficit):</t>
  </si>
  <si>
    <t>Preferred stock, $0.001 par value; 25,000,000 shares authorized; no shares issued and outstanding</t>
  </si>
  <si>
    <t>Common stock, $0.001 par value; 475,000,000 shares authorized; 90,404,022 shares issued and 90,377,245 shares outstanding at December 30, 2017; 91,464,229 shares issued and 91,437,452 shares outstanding at December 31, 2016</t>
  </si>
  <si>
    <t>Additional paid-in capital</t>
  </si>
  <si>
    <t>Treasury stock, at cost; 26,777 shares at December 30, 2017 and December 31, 2016</t>
  </si>
  <si>
    <t>Accumulated deficit</t>
  </si>
  <si>
    <t>Accumulated other comprehensive loss</t>
  </si>
  <si>
    <t>Total stockholders’ equity (deficit)</t>
  </si>
  <si>
    <t>Total liabilities and stockholders’ equity (deficit)</t>
  </si>
  <si>
    <t>Consolidated Statement of Income - USD ($)</t>
  </si>
  <si>
    <t>shares in Thousands, $ in Thousands</t>
  </si>
  <si>
    <t>Dec. 31, 2018</t>
  </si>
  <si>
    <t>Dec. 31, 2017</t>
  </si>
  <si>
    <t>Consolidated Statement of Income [Abstract]</t>
  </si>
  <si>
    <t>Revenue</t>
  </si>
  <si>
    <t>Restaurant operating costs (exclusive of depreciation and amortization shown separately below):</t>
  </si>
  <si>
    <t>Food, beverage and packaging</t>
  </si>
  <si>
    <t>Labor</t>
  </si>
  <si>
    <t>Occupancy</t>
  </si>
  <si>
    <t>Other operating costs</t>
  </si>
  <si>
    <t>General and administrative expenses</t>
  </si>
  <si>
    <t>Depreciation and amortization</t>
  </si>
  <si>
    <t>Pre-opening costs</t>
  </si>
  <si>
    <t>Impairment, closure costs, and asset disposals</t>
  </si>
  <si>
    <t>Total operating expenses</t>
  </si>
  <si>
    <t>Income from operations</t>
  </si>
  <si>
    <t>Interest and other income, net</t>
  </si>
  <si>
    <t>Provision for income taxes</t>
  </si>
  <si>
    <t>Net income</t>
  </si>
  <si>
    <t>Basic</t>
  </si>
  <si>
    <t>Diluted</t>
  </si>
  <si>
    <t>Weighted-average common shares outstanding:</t>
  </si>
  <si>
    <t>Consolidated Balance Sheet - USD ($)</t>
  </si>
  <si>
    <t>Accounts receivable</t>
  </si>
  <si>
    <t>Inventory</t>
  </si>
  <si>
    <t>Income tax receivable</t>
  </si>
  <si>
    <t>Investments</t>
  </si>
  <si>
    <t>Leasehold improvements, property and equipment, net</t>
  </si>
  <si>
    <t>Accrued payroll and benefits</t>
  </si>
  <si>
    <t>Accrued liabilities</t>
  </si>
  <si>
    <t>Unearned revenue</t>
  </si>
  <si>
    <t>Income tax payable</t>
  </si>
  <si>
    <t>Commitments and contingencies (Note 13)</t>
  </si>
  <si>
    <t>Deferred rent</t>
  </si>
  <si>
    <t>Deferred income tax liability</t>
  </si>
  <si>
    <t>Other liabilities</t>
  </si>
  <si>
    <t>Total liabilities</t>
  </si>
  <si>
    <t>Shareholders' equity:</t>
  </si>
  <si>
    <t>Preferred stock, $0.01 par value, 600,000 shares authorized, no shares issued as of December 31, 2018 and 2017, respectively</t>
  </si>
  <si>
    <t>Common stock $0.01 par value, 230,000 shares authorized, 35,973 and 35,852 shares issued as of December 31, 2018 and 2017, respectively</t>
  </si>
  <si>
    <t>Treasury stock, at cost, 8,276 and 7,826 common shares at December 31, 2018 and 2017, respectively</t>
  </si>
  <si>
    <t>Accumulated other comprehensive income (loss)</t>
  </si>
  <si>
    <t>Retained earnings</t>
  </si>
  <si>
    <t>Total shareholders' equity</t>
  </si>
  <si>
    <t>Total liabilities and shareholders' equity</t>
  </si>
  <si>
    <t>Current Asset Level</t>
  </si>
  <si>
    <t>Conservative</t>
  </si>
  <si>
    <t>Aggressive</t>
  </si>
  <si>
    <t>Short Term Debt</t>
  </si>
  <si>
    <t>Fixed Assets</t>
  </si>
  <si>
    <t>Current Assets</t>
  </si>
  <si>
    <t>Total Assets</t>
  </si>
  <si>
    <t>Long Term Debt</t>
  </si>
  <si>
    <t>Equity</t>
  </si>
  <si>
    <t>Total Equity and Liabilities</t>
  </si>
  <si>
    <t>Earnings before Interest and Taxes</t>
  </si>
  <si>
    <t>Interest on Short Term Debt (@5%)</t>
  </si>
  <si>
    <t>Interest on Long Term Debt (@10%)</t>
  </si>
  <si>
    <t>Total Interest</t>
  </si>
  <si>
    <t>Earnings after Interest before Taxes</t>
  </si>
  <si>
    <t>Taxes (@25%)</t>
  </si>
  <si>
    <t>Earnings after Interest and Tax</t>
  </si>
  <si>
    <t>Return on Equity</t>
  </si>
  <si>
    <t>Equipment Cost</t>
  </si>
  <si>
    <t>Shipping and Installation</t>
  </si>
  <si>
    <t>Total Equipment Cost</t>
  </si>
  <si>
    <t>Salvage Value</t>
  </si>
  <si>
    <t>Annual Depreciation</t>
  </si>
  <si>
    <t>Cashflow in Year 0</t>
  </si>
  <si>
    <t>Add Rise in Inventory</t>
  </si>
  <si>
    <t>Less Rise in Accounts Payable</t>
  </si>
  <si>
    <t>Total Cash Outflow</t>
  </si>
  <si>
    <t>WACC</t>
  </si>
  <si>
    <t>Years</t>
  </si>
  <si>
    <t>Unit Sales</t>
  </si>
  <si>
    <t>Sales (@ $3 per unit)</t>
  </si>
  <si>
    <t>Operating profit (@30% of sales)</t>
  </si>
  <si>
    <t>Less Depreciation</t>
  </si>
  <si>
    <t>Operating Profit after Depreciation</t>
  </si>
  <si>
    <t>Tax (@30%)</t>
  </si>
  <si>
    <t>Income after Tax</t>
  </si>
  <si>
    <t>Add Depreciation</t>
  </si>
  <si>
    <t>Project Cashflows</t>
  </si>
  <si>
    <t>Discounted Project Cashflows</t>
  </si>
  <si>
    <t>Net Present Value</t>
  </si>
  <si>
    <t>Months</t>
  </si>
  <si>
    <t>Payback Period</t>
  </si>
  <si>
    <t>Internal Rate of Return</t>
  </si>
  <si>
    <t>Terms</t>
  </si>
  <si>
    <t>2/10 Net 40</t>
  </si>
  <si>
    <t>Sales Increase</t>
  </si>
  <si>
    <t>Cash Discount (40% customers)</t>
  </si>
  <si>
    <t>Net Sales</t>
  </si>
  <si>
    <t>Earnings at 35% (1-0.65)</t>
  </si>
  <si>
    <t>Additional Inventory</t>
  </si>
  <si>
    <t>Bad Debts (@10%)</t>
  </si>
  <si>
    <t>Net Cashflow</t>
  </si>
  <si>
    <t>Average collection Period (Days)</t>
  </si>
  <si>
    <t>Net Income</t>
  </si>
  <si>
    <t>Outstanding Shares</t>
  </si>
  <si>
    <t>Earnings per Share</t>
  </si>
  <si>
    <t>Market Price per Share</t>
  </si>
  <si>
    <t>Price Earning Ratio</t>
  </si>
  <si>
    <t>Debt to Equity Ratio</t>
  </si>
  <si>
    <t>Increase in Retained Earnings</t>
  </si>
  <si>
    <t>Proportionate Increase in debt</t>
  </si>
  <si>
    <t>Maximum Investment Funds Available</t>
  </si>
  <si>
    <t>Planned Capital Expenditures</t>
  </si>
  <si>
    <t>Dividend</t>
  </si>
  <si>
    <t>Dividend per share</t>
  </si>
  <si>
    <t>Dividend Yield</t>
  </si>
  <si>
    <t>Annual Sales</t>
  </si>
  <si>
    <t>Daily Sales (365 Days)</t>
  </si>
  <si>
    <t>Days between Cheques</t>
  </si>
  <si>
    <t>Reduce float Days</t>
  </si>
  <si>
    <t>Compensating Balance</t>
  </si>
  <si>
    <t>Additional float due to reduction</t>
  </si>
  <si>
    <t>Cost</t>
  </si>
  <si>
    <t>Additional fee</t>
  </si>
  <si>
    <t>Total Cost</t>
  </si>
  <si>
    <t>Labor cost reduction</t>
  </si>
  <si>
    <t>Earnings on Investment (12%)</t>
  </si>
  <si>
    <t>Total Benefit</t>
  </si>
  <si>
    <t>Net Benefit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</si>
</sst>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_(&quot;$&quot;* #,##0_);_(&quot;$&quot;* \(#,##0\);_(&quot;$&quot;* &quot;-&quot;??_);_(@_)"/>
  </numFmts>
  <fonts count="2">
    <font>
      <sz val="11.0"/>
      <color rgb="FF000000"/>
      <name val="Calibri"/>
    </font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</fills>
  <borders count="2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</border>
    <border>
      <left/>
      <right style="medium">
        <color rgb="FFBFBFBF"/>
      </right>
      <top style="medium">
        <color rgb="FFBFBFBF"/>
      </top>
      <bottom style="medium">
        <color rgb="FFBFBFBF"/>
      </bottom>
    </border>
    <border>
      <left style="medium">
        <color rgb="FFBFBFBF"/>
      </left>
      <right style="medium">
        <color rgb="FFBFBFBF"/>
      </right>
      <top/>
      <bottom style="medium">
        <color rgb="FFBFBFBF"/>
      </bottom>
    </border>
    <border>
      <left/>
      <right style="medium">
        <color rgb="FFBFBFBF"/>
      </right>
      <top/>
      <bottom style="medium">
        <color rgb="FFBFBFBF"/>
      </bottom>
    </border>
    <border>
      <left style="medium">
        <color rgb="FFBFBFBF"/>
      </left>
      <right style="medium">
        <color rgb="FFBFBFBF"/>
      </right>
      <bottom style="medium">
        <color rgb="FFBFBFBF"/>
      </bottom>
    </border>
    <border>
      <right style="medium">
        <color rgb="FFBFBFBF"/>
      </right>
      <bottom style="medium">
        <color rgb="FFBFBFBF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0" fontId="0" numFmtId="0" xfId="0" applyAlignment="1" applyBorder="1" applyFont="1">
      <alignment shrinkToFit="0" vertical="center" wrapText="1"/>
    </xf>
    <xf borderId="2" fillId="0" fontId="0" numFmtId="0" xfId="0" applyAlignment="1" applyBorder="1" applyFont="1">
      <alignment shrinkToFit="0" vertical="center" wrapText="1"/>
    </xf>
    <xf borderId="3" fillId="0" fontId="1" numFmtId="0" xfId="0" applyAlignment="1" applyBorder="1" applyFont="1">
      <alignment shrinkToFit="0" vertical="center" wrapText="1"/>
    </xf>
    <xf borderId="4" fillId="0" fontId="0" numFmtId="0" xfId="0" applyAlignment="1" applyBorder="1" applyFont="1">
      <alignment shrinkToFit="0" vertical="center" wrapText="1"/>
    </xf>
    <xf borderId="4" fillId="0" fontId="0" numFmtId="2" xfId="0" applyAlignment="1" applyBorder="1" applyFont="1" applyNumberFormat="1">
      <alignment shrinkToFit="0" vertical="center" wrapText="1"/>
    </xf>
    <xf borderId="3" fillId="0" fontId="0" numFmtId="0" xfId="0" applyAlignment="1" applyBorder="1" applyFont="1">
      <alignment shrinkToFit="0" vertical="center" wrapText="1"/>
    </xf>
    <xf borderId="4" fillId="0" fontId="0" numFmtId="3" xfId="0" applyAlignment="1" applyBorder="1" applyFont="1" applyNumberFormat="1">
      <alignment shrinkToFit="0" vertical="center" wrapText="1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0" numFmtId="0" xfId="0" applyAlignment="1" applyFont="1">
      <alignment vertical="center"/>
    </xf>
    <xf borderId="0" fillId="0" fontId="0" numFmtId="164" xfId="0" applyAlignment="1" applyFont="1" applyNumberFormat="1">
      <alignment vertical="center"/>
    </xf>
    <xf borderId="0" fillId="0" fontId="0" numFmtId="3" xfId="0" applyAlignment="1" applyFont="1" applyNumberFormat="1">
      <alignment vertical="center"/>
    </xf>
    <xf borderId="0" fillId="0" fontId="0" numFmtId="165" xfId="0" applyAlignment="1" applyFont="1" applyNumberForma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0" numFmtId="0" xfId="0" applyAlignment="1" applyFont="1">
      <alignment shrinkToFit="0" vertical="center" wrapText="1"/>
    </xf>
    <xf borderId="0" fillId="0" fontId="0" numFmtId="164" xfId="0" applyAlignment="1" applyFont="1" applyNumberFormat="1">
      <alignment shrinkToFit="0" vertical="center" wrapText="1"/>
    </xf>
    <xf borderId="0" fillId="0" fontId="0" numFmtId="3" xfId="0" applyAlignment="1" applyFont="1" applyNumberFormat="1">
      <alignment shrinkToFit="0" vertical="center" wrapText="1"/>
    </xf>
    <xf borderId="5" fillId="2" fontId="1" numFmtId="0" xfId="0" applyAlignment="1" applyBorder="1" applyFill="1" applyFont="1">
      <alignment vertical="center"/>
    </xf>
    <xf borderId="6" fillId="2" fontId="1" numFmtId="0" xfId="0" applyAlignment="1" applyBorder="1" applyFont="1">
      <alignment horizontal="right" vertical="center"/>
    </xf>
    <xf borderId="7" fillId="2" fontId="1" numFmtId="0" xfId="0" applyAlignment="1" applyBorder="1" applyFont="1">
      <alignment vertical="center"/>
    </xf>
    <xf borderId="8" fillId="2" fontId="1" numFmtId="0" xfId="0" applyAlignment="1" applyBorder="1" applyFont="1">
      <alignment horizontal="right" vertical="center"/>
    </xf>
    <xf borderId="9" fillId="0" fontId="0" numFmtId="0" xfId="0" applyAlignment="1" applyBorder="1" applyFont="1">
      <alignment vertical="center"/>
    </xf>
    <xf borderId="10" fillId="0" fontId="0" numFmtId="164" xfId="0" applyAlignment="1" applyBorder="1" applyFont="1" applyNumberFormat="1">
      <alignment horizontal="right" vertical="center"/>
    </xf>
    <xf borderId="7" fillId="3" fontId="1" numFmtId="0" xfId="0" applyAlignment="1" applyBorder="1" applyFill="1" applyFont="1">
      <alignment vertical="center"/>
    </xf>
    <xf borderId="8" fillId="3" fontId="1" numFmtId="164" xfId="0" applyAlignment="1" applyBorder="1" applyFont="1" applyNumberFormat="1">
      <alignment horizontal="right" vertical="center"/>
    </xf>
    <xf borderId="7" fillId="3" fontId="0" numFmtId="0" xfId="0" applyAlignment="1" applyBorder="1" applyFont="1">
      <alignment vertical="center"/>
    </xf>
    <xf borderId="8" fillId="3" fontId="0" numFmtId="164" xfId="0" applyAlignment="1" applyBorder="1" applyFont="1" applyNumberFormat="1">
      <alignment horizontal="right" vertical="center"/>
    </xf>
    <xf borderId="8" fillId="3" fontId="1" numFmtId="10" xfId="0" applyAlignment="1" applyBorder="1" applyFont="1" applyNumberFormat="1">
      <alignment horizontal="right" vertical="center"/>
    </xf>
    <xf borderId="0" fillId="0" fontId="0" numFmtId="166" xfId="0" applyFont="1" applyNumberFormat="1"/>
    <xf borderId="11" fillId="0" fontId="0" numFmtId="0" xfId="0" applyBorder="1" applyFont="1"/>
    <xf borderId="11" fillId="0" fontId="0" numFmtId="166" xfId="0" applyBorder="1" applyFont="1" applyNumberFormat="1"/>
    <xf borderId="11" fillId="0" fontId="1" numFmtId="0" xfId="0" applyBorder="1" applyFont="1"/>
    <xf borderId="12" fillId="0" fontId="1" numFmtId="0" xfId="0" applyBorder="1" applyFont="1"/>
    <xf borderId="12" fillId="0" fontId="1" numFmtId="9" xfId="0" applyBorder="1" applyFont="1" applyNumberFormat="1"/>
    <xf borderId="12" fillId="0" fontId="0" numFmtId="0" xfId="0" applyBorder="1" applyFont="1"/>
    <xf borderId="12" fillId="0" fontId="0" numFmtId="167" xfId="0" applyBorder="1" applyFont="1" applyNumberFormat="1"/>
    <xf borderId="12" fillId="0" fontId="0" numFmtId="168" xfId="0" applyBorder="1" applyFont="1" applyNumberFormat="1"/>
    <xf borderId="12" fillId="0" fontId="1" numFmtId="168" xfId="0" applyBorder="1" applyFont="1" applyNumberFormat="1"/>
    <xf borderId="13" fillId="0" fontId="1" numFmtId="0" xfId="0" applyBorder="1" applyFont="1"/>
    <xf borderId="14" fillId="0" fontId="1" numFmtId="166" xfId="0" applyBorder="1" applyFont="1" applyNumberFormat="1"/>
    <xf borderId="15" fillId="0" fontId="1" numFmtId="0" xfId="0" applyBorder="1" applyFont="1"/>
    <xf borderId="15" fillId="0" fontId="1" numFmtId="166" xfId="0" applyBorder="1" applyFont="1" applyNumberFormat="1"/>
    <xf borderId="12" fillId="0" fontId="1" numFmtId="2" xfId="0" applyBorder="1" applyFont="1" applyNumberFormat="1"/>
    <xf borderId="16" fillId="0" fontId="1" numFmtId="10" xfId="0" applyBorder="1" applyFont="1" applyNumberFormat="1"/>
    <xf borderId="0" fillId="0" fontId="0" numFmtId="9" xfId="0" applyFont="1" applyNumberFormat="1"/>
    <xf borderId="0" fillId="0" fontId="0" numFmtId="167" xfId="0" applyFont="1" applyNumberFormat="1"/>
    <xf borderId="0" fillId="0" fontId="0" numFmtId="168" xfId="0" applyFont="1" applyNumberFormat="1"/>
    <xf borderId="11" fillId="0" fontId="0" numFmtId="167" xfId="0" applyBorder="1" applyFont="1" applyNumberFormat="1"/>
    <xf borderId="11" fillId="0" fontId="0" numFmtId="168" xfId="0" applyBorder="1" applyFont="1" applyNumberFormat="1"/>
    <xf borderId="0" fillId="0" fontId="0" numFmtId="2" xfId="0" applyFont="1" applyNumberFormat="1"/>
    <xf borderId="17" fillId="0" fontId="0" numFmtId="0" xfId="0" applyBorder="1" applyFont="1"/>
    <xf borderId="18" fillId="0" fontId="0" numFmtId="168" xfId="0" applyBorder="1" applyFont="1" applyNumberFormat="1"/>
    <xf borderId="13" fillId="0" fontId="0" numFmtId="0" xfId="0" applyBorder="1" applyFont="1"/>
    <xf borderId="19" fillId="0" fontId="0" numFmtId="168" xfId="0" applyBorder="1" applyFont="1" applyNumberFormat="1"/>
    <xf borderId="19" fillId="0" fontId="1" numFmtId="166" xfId="0" applyBorder="1" applyFont="1" applyNumberFormat="1"/>
    <xf borderId="20" fillId="0" fontId="1" numFmtId="0" xfId="0" applyBorder="1" applyFont="1"/>
    <xf borderId="21" fillId="0" fontId="1" numFmtId="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tyles" Target="styles.xml"/><Relationship Id="rId10" Type="http://schemas.openxmlformats.org/officeDocument/2006/relationships/worksheet" Target="worksheets/sheet7.xml"/><Relationship Id="rId5" Type="http://schemas.openxmlformats.org/officeDocument/2006/relationships/worksheet" Target="worksheets/sheet2.xml"/><Relationship Id="rId8" Type="http://schemas.openxmlformats.org/officeDocument/2006/relationships/worksheet" Target="worksheets/sheet5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3" Type="http://schemas.openxmlformats.org/officeDocument/2006/relationships/sharedStrings" Target="sharedStrings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7" Type="http://schemas.openxmlformats.org/officeDocument/2006/relationships/worksheet" Target="worksheets/sheet4.xml"/><Relationship Id="rId1" Type="http://schemas.openxmlformats.org/officeDocument/2006/relationships/theme" Target="theme/theme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6.43"/>
    <col customWidth="1" min="3" max="3" width="19.57"/>
    <col customWidth="1" min="4" max="4" width="20.0"/>
    <col customWidth="1" min="5" max="11" width="8.71"/>
  </cols>
  <sheetData>
    <row r="1">
      <c r="A1" s="1"/>
      <c r="B1" s="2" t="s">
        <v>0</v>
      </c>
      <c r="C1" s="2" t="s">
        <v>1</v>
      </c>
      <c r="D1" s="2" t="s">
        <v>2</v>
      </c>
    </row>
    <row r="2">
      <c r="A2" s="3" t="s">
        <v>3</v>
      </c>
      <c r="B2" s="4" t="s">
        <v>4</v>
      </c>
      <c r="C2" s="5" t="str">
        <f t="shared" ref="C2:D2" si="1">C3+C4-C5</f>
        <v>-8.98</v>
      </c>
      <c r="D2" s="5" t="str">
        <f t="shared" si="1"/>
        <v>-5.73</v>
      </c>
    </row>
    <row r="3">
      <c r="A3" s="6" t="s">
        <v>5</v>
      </c>
      <c r="B3" s="4" t="s">
        <v>6</v>
      </c>
      <c r="C3" s="4"/>
      <c r="D3" s="5" t="str">
        <f>((CMG!B35+CMG!C35)/2)/SUM(CMG!B6:B7)*365</f>
        <v>2.58</v>
      </c>
    </row>
    <row r="4">
      <c r="A4" s="6" t="s">
        <v>7</v>
      </c>
      <c r="B4" s="4" t="s">
        <v>8</v>
      </c>
      <c r="C4" s="5" t="str">
        <f>(DNKN!B47+DNKN!C47)/2/DNKN!B4*365</f>
        <v>29.55</v>
      </c>
      <c r="D4" s="5" t="str">
        <f>(CMG!B34+CMG!C34)/2/CMG!B4*365</f>
        <v>3.86</v>
      </c>
    </row>
    <row r="5">
      <c r="A5" s="6" t="s">
        <v>9</v>
      </c>
      <c r="B5" s="4" t="s">
        <v>10</v>
      </c>
      <c r="C5" s="5" t="str">
        <f>(DNKN!B62+DNKN!C62)/2/SUM(DNKN!B11:B12)*365</f>
        <v>38.53</v>
      </c>
      <c r="D5" s="5" t="str">
        <f>(CMG!B46+CMG!C46)/2/SUM(CMG!B6:B7)*365</f>
        <v>12.17</v>
      </c>
    </row>
    <row r="6">
      <c r="A6" s="3" t="s">
        <v>11</v>
      </c>
      <c r="B6" s="4"/>
      <c r="C6" s="4"/>
      <c r="D6" s="4"/>
    </row>
    <row r="7">
      <c r="A7" s="6" t="s">
        <v>12</v>
      </c>
      <c r="B7" s="4" t="s">
        <v>13</v>
      </c>
      <c r="C7" s="5" t="str">
        <f>DNKN!B52/DNKN!B66</f>
        <v>2.79</v>
      </c>
      <c r="D7" s="5" t="str">
        <f>CMG!B39/CMG!B51</f>
        <v>1.81</v>
      </c>
    </row>
    <row r="8">
      <c r="A8" s="6" t="s">
        <v>14</v>
      </c>
      <c r="B8" s="4" t="s">
        <v>15</v>
      </c>
      <c r="C8" s="5" t="str">
        <f>DNKN!B52/DNKN!B66</f>
        <v>2.79</v>
      </c>
      <c r="D8" s="5" t="str">
        <f>(CMG!B39-CMG!B35)/CMG!B51</f>
        <v>1.76</v>
      </c>
    </row>
    <row r="9">
      <c r="A9" s="6" t="s">
        <v>16</v>
      </c>
      <c r="B9" s="4"/>
      <c r="C9" s="7" t="str">
        <f>DNKN!B73</f>
        <v>3,457,047</v>
      </c>
      <c r="D9" s="7" t="str">
        <f>SUM(CMG!B53:B55)</f>
        <v>374,189</v>
      </c>
    </row>
    <row r="10">
      <c r="A10" s="6" t="s">
        <v>17</v>
      </c>
      <c r="B10" s="4"/>
      <c r="C10" s="7" t="str">
        <f>DNKN!B66</f>
        <v>471,890</v>
      </c>
      <c r="D10" s="7" t="str">
        <f>CMG!B51</f>
        <v>449,990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4.86"/>
    <col customWidth="1" min="2" max="2" width="16.43"/>
    <col customWidth="1" min="3" max="4" width="12.29"/>
    <col customWidth="1" min="5" max="11" width="8.71"/>
  </cols>
  <sheetData>
    <row r="1">
      <c r="A1" s="8" t="s">
        <v>18</v>
      </c>
      <c r="B1" s="9" t="s">
        <v>19</v>
      </c>
      <c r="C1" s="9"/>
      <c r="D1" s="9"/>
    </row>
    <row r="2">
      <c r="A2" s="8" t="s">
        <v>20</v>
      </c>
      <c r="B2" s="8" t="s">
        <v>21</v>
      </c>
      <c r="C2" s="8" t="s">
        <v>22</v>
      </c>
      <c r="D2" s="8" t="s">
        <v>23</v>
      </c>
    </row>
    <row r="3">
      <c r="A3" t="s">
        <v>24</v>
      </c>
      <c r="B3" s="10"/>
      <c r="C3" s="10"/>
      <c r="D3" s="10"/>
    </row>
    <row r="4">
      <c r="A4" t="s">
        <v>25</v>
      </c>
      <c r="B4" s="11">
        <v>592689.0</v>
      </c>
      <c r="C4" s="11">
        <v>549571.0</v>
      </c>
      <c r="D4" s="11">
        <v>513222.0</v>
      </c>
    </row>
    <row r="5">
      <c r="A5" t="s">
        <v>26</v>
      </c>
      <c r="B5" s="12">
        <v>104643.0</v>
      </c>
      <c r="C5" s="12">
        <v>101020.0</v>
      </c>
      <c r="D5" s="12">
        <v>100422.0</v>
      </c>
    </row>
    <row r="6">
      <c r="A6" t="s">
        <v>27</v>
      </c>
      <c r="B6" s="12">
        <v>110659.0</v>
      </c>
      <c r="C6" s="12">
        <v>114857.0</v>
      </c>
      <c r="D6" s="12">
        <v>115252.0</v>
      </c>
    </row>
    <row r="7">
      <c r="A7" t="s">
        <v>28</v>
      </c>
      <c r="B7" s="10">
        <v>0.0</v>
      </c>
      <c r="C7" s="12">
        <v>11975.0</v>
      </c>
      <c r="D7" s="12">
        <v>28340.0</v>
      </c>
    </row>
    <row r="8">
      <c r="A8" t="s">
        <v>29</v>
      </c>
      <c r="B8" s="12">
        <v>52510.0</v>
      </c>
      <c r="C8" s="12">
        <v>51466.0</v>
      </c>
      <c r="D8" s="12">
        <v>53697.0</v>
      </c>
    </row>
    <row r="9">
      <c r="A9" t="s">
        <v>30</v>
      </c>
      <c r="B9" s="12">
        <v>860501.0</v>
      </c>
      <c r="C9" s="12">
        <v>828889.0</v>
      </c>
      <c r="D9" s="12">
        <v>810933.0</v>
      </c>
    </row>
    <row r="10">
      <c r="A10" t="s">
        <v>31</v>
      </c>
      <c r="B10" s="10"/>
      <c r="C10" s="10"/>
      <c r="D10" s="10"/>
    </row>
    <row r="11">
      <c r="A11" t="s">
        <v>32</v>
      </c>
      <c r="B11" s="12">
        <v>60301.0</v>
      </c>
      <c r="C11" s="12">
        <v>57409.0</v>
      </c>
      <c r="D11" s="12">
        <v>54611.0</v>
      </c>
    </row>
    <row r="12">
      <c r="A12" t="s">
        <v>33</v>
      </c>
      <c r="B12" s="12">
        <v>77012.0</v>
      </c>
      <c r="C12" s="12">
        <v>77608.0</v>
      </c>
      <c r="D12" s="12">
        <v>76877.0</v>
      </c>
    </row>
    <row r="13">
      <c r="A13" t="s">
        <v>34</v>
      </c>
      <c r="B13" s="10">
        <v>0.0</v>
      </c>
      <c r="C13" s="12">
        <v>13591.0</v>
      </c>
      <c r="D13" s="12">
        <v>29900.0</v>
      </c>
    </row>
    <row r="14">
      <c r="A14" t="s">
        <v>35</v>
      </c>
      <c r="B14" s="12">
        <v>248975.0</v>
      </c>
      <c r="C14" s="12">
        <v>246814.0</v>
      </c>
      <c r="D14" s="12">
        <v>243796.0</v>
      </c>
    </row>
    <row r="15">
      <c r="A15" t="s">
        <v>36</v>
      </c>
      <c r="B15" s="12">
        <v>20084.0</v>
      </c>
      <c r="C15" s="12">
        <v>20458.0</v>
      </c>
      <c r="D15" s="12">
        <v>20556.0</v>
      </c>
    </row>
    <row r="16">
      <c r="A16" t="s">
        <v>37</v>
      </c>
      <c r="B16" s="12">
        <v>21335.0</v>
      </c>
      <c r="C16" s="12">
        <v>22079.0</v>
      </c>
      <c r="D16" s="12">
        <v>24688.0</v>
      </c>
    </row>
    <row r="17">
      <c r="A17" t="s">
        <v>38</v>
      </c>
      <c r="B17" s="12">
        <v>1617.0</v>
      </c>
      <c r="C17" s="10">
        <v>149.0</v>
      </c>
      <c r="D17" s="10">
        <v>623.0</v>
      </c>
    </row>
    <row r="18">
      <c r="A18" t="s">
        <v>39</v>
      </c>
      <c r="B18" s="12">
        <v>429324.0</v>
      </c>
      <c r="C18" s="12">
        <v>438108.0</v>
      </c>
      <c r="D18" s="12">
        <v>451051.0</v>
      </c>
    </row>
    <row r="19">
      <c r="A19" t="s">
        <v>40</v>
      </c>
      <c r="B19" s="10"/>
      <c r="C19" s="10"/>
      <c r="D19" s="10"/>
    </row>
    <row r="20">
      <c r="A20" t="s">
        <v>41</v>
      </c>
      <c r="B20" s="12">
        <v>15198.0</v>
      </c>
      <c r="C20" s="12">
        <v>14552.0</v>
      </c>
      <c r="D20" s="12">
        <v>12555.0</v>
      </c>
    </row>
    <row r="21" ht="15.75" customHeight="1">
      <c r="A21" t="s">
        <v>42</v>
      </c>
      <c r="B21" s="10">
        <v>0.0</v>
      </c>
      <c r="C21" s="10">
        <v>0.0</v>
      </c>
      <c r="D21" s="12">
        <v>-54300.0</v>
      </c>
    </row>
    <row r="22" ht="15.75" customHeight="1">
      <c r="A22" t="s">
        <v>43</v>
      </c>
      <c r="B22" s="12">
        <v>15198.0</v>
      </c>
      <c r="C22" s="12">
        <v>14552.0</v>
      </c>
      <c r="D22" s="12">
        <v>-41745.0</v>
      </c>
    </row>
    <row r="23" ht="15.75" customHeight="1">
      <c r="A23" t="s">
        <v>44</v>
      </c>
      <c r="B23" s="10">
        <v>627.0</v>
      </c>
      <c r="C23" s="12">
        <v>9381.0</v>
      </c>
      <c r="D23" s="12">
        <v>1430.0</v>
      </c>
    </row>
    <row r="24" ht="15.75" customHeight="1">
      <c r="A24" t="s">
        <v>45</v>
      </c>
      <c r="B24" s="12">
        <v>447002.0</v>
      </c>
      <c r="C24" s="12">
        <v>414714.0</v>
      </c>
      <c r="D24" s="12">
        <v>319567.0</v>
      </c>
    </row>
    <row r="25" ht="15.75" customHeight="1">
      <c r="A25" t="s">
        <v>46</v>
      </c>
      <c r="B25" s="10"/>
      <c r="C25" s="10"/>
      <c r="D25" s="10"/>
    </row>
    <row r="26" ht="15.75" customHeight="1">
      <c r="A26" t="s">
        <v>47</v>
      </c>
      <c r="B26" s="12">
        <v>3313.0</v>
      </c>
      <c r="C26" s="10">
        <v>582.0</v>
      </c>
      <c r="D26" s="10">
        <v>424.0</v>
      </c>
    </row>
    <row r="27" ht="15.75" customHeight="1">
      <c r="A27" t="s">
        <v>48</v>
      </c>
      <c r="B27" s="12">
        <v>-104423.0</v>
      </c>
      <c r="C27" s="12">
        <v>-100852.0</v>
      </c>
      <c r="D27" s="12">
        <v>-96765.0</v>
      </c>
    </row>
    <row r="28" ht="15.75" customHeight="1">
      <c r="A28" t="s">
        <v>49</v>
      </c>
      <c r="B28" s="12">
        <v>-6996.0</v>
      </c>
      <c r="C28" s="10">
        <v>0.0</v>
      </c>
      <c r="D28" s="12">
        <v>-20554.0</v>
      </c>
    </row>
    <row r="29" ht="15.75" customHeight="1">
      <c r="A29" t="s">
        <v>50</v>
      </c>
      <c r="B29" s="10">
        <v>391.0</v>
      </c>
      <c r="C29" s="12">
        <v>-1195.0</v>
      </c>
      <c r="D29" s="12">
        <v>-1084.0</v>
      </c>
    </row>
    <row r="30" ht="15.75" customHeight="1">
      <c r="A30" t="s">
        <v>51</v>
      </c>
      <c r="B30" s="12">
        <v>-107715.0</v>
      </c>
      <c r="C30" s="12">
        <v>-101465.0</v>
      </c>
      <c r="D30" s="12">
        <v>-117979.0</v>
      </c>
    </row>
    <row r="31" ht="15.75" customHeight="1">
      <c r="A31" t="s">
        <v>52</v>
      </c>
      <c r="B31" s="12">
        <v>339287.0</v>
      </c>
      <c r="C31" s="12">
        <v>313249.0</v>
      </c>
      <c r="D31" s="12">
        <v>201588.0</v>
      </c>
    </row>
    <row r="32" ht="15.75" customHeight="1">
      <c r="A32" t="s">
        <v>53</v>
      </c>
      <c r="B32" s="12">
        <v>-11622.0</v>
      </c>
      <c r="C32" s="12">
        <v>117673.0</v>
      </c>
      <c r="D32" s="12">
        <v>96359.0</v>
      </c>
    </row>
    <row r="33" ht="15.75" customHeight="1">
      <c r="A33" t="s">
        <v>54</v>
      </c>
      <c r="B33" s="12">
        <v>350909.0</v>
      </c>
      <c r="C33" s="12">
        <v>195576.0</v>
      </c>
      <c r="D33" s="12">
        <v>105229.0</v>
      </c>
    </row>
    <row r="34" ht="15.75" customHeight="1">
      <c r="A34" t="s">
        <v>55</v>
      </c>
      <c r="B34" s="10">
        <v>0.0</v>
      </c>
      <c r="C34" s="10">
        <v>0.0</v>
      </c>
      <c r="D34" s="10">
        <v>2.0</v>
      </c>
    </row>
    <row r="35" ht="15.75" customHeight="1">
      <c r="A35" t="s">
        <v>56</v>
      </c>
      <c r="B35" s="11">
        <v>350909.0</v>
      </c>
      <c r="C35" s="11">
        <v>195576.0</v>
      </c>
      <c r="D35" s="11">
        <v>105227.0</v>
      </c>
    </row>
    <row r="36" ht="15.75" customHeight="1">
      <c r="A36" t="s">
        <v>57</v>
      </c>
      <c r="B36" s="10"/>
      <c r="C36" s="10"/>
      <c r="D36" s="10"/>
    </row>
    <row r="37" ht="15.75" customHeight="1">
      <c r="A37" t="s">
        <v>58</v>
      </c>
      <c r="B37" s="13">
        <v>3.86</v>
      </c>
      <c r="C37" s="13">
        <v>2.14</v>
      </c>
      <c r="D37" s="13">
        <v>1.1</v>
      </c>
    </row>
    <row r="38" ht="15.75" customHeight="1">
      <c r="A38" t="s">
        <v>59</v>
      </c>
      <c r="B38" s="10">
        <v>3.8</v>
      </c>
      <c r="C38" s="10">
        <v>2.11</v>
      </c>
      <c r="D38" s="10">
        <v>1.08</v>
      </c>
    </row>
    <row r="39" ht="15.75" customHeight="1">
      <c r="A39" t="s">
        <v>60</v>
      </c>
      <c r="B39" s="13">
        <v>1.29</v>
      </c>
      <c r="C39" s="13">
        <v>1.2</v>
      </c>
      <c r="D39" s="13">
        <v>1.06</v>
      </c>
    </row>
    <row r="40" ht="15.75" customHeight="1"/>
    <row r="41" ht="15.75" customHeight="1"/>
    <row r="42" ht="15.75" customHeight="1">
      <c r="A42" s="14" t="s">
        <v>61</v>
      </c>
      <c r="B42" s="14" t="s">
        <v>21</v>
      </c>
      <c r="C42" s="14" t="s">
        <v>22</v>
      </c>
    </row>
    <row r="43" ht="15.75" customHeight="1">
      <c r="A43" s="14" t="s">
        <v>20</v>
      </c>
    </row>
    <row r="44" ht="15.75" customHeight="1">
      <c r="A44" t="s">
        <v>62</v>
      </c>
      <c r="B44" s="15"/>
      <c r="C44" s="15"/>
    </row>
    <row r="45" ht="15.75" customHeight="1">
      <c r="A45" t="s">
        <v>63</v>
      </c>
      <c r="B45" s="16">
        <v>1018317.0</v>
      </c>
      <c r="C45" s="16">
        <v>361425.0</v>
      </c>
    </row>
    <row r="46" ht="15.75" customHeight="1">
      <c r="A46" t="s">
        <v>64</v>
      </c>
      <c r="B46" s="17">
        <v>94047.0</v>
      </c>
      <c r="C46" s="17">
        <v>69746.0</v>
      </c>
    </row>
    <row r="47" ht="15.75" customHeight="1">
      <c r="A47" t="s">
        <v>65</v>
      </c>
      <c r="B47" s="17">
        <v>51442.0</v>
      </c>
      <c r="C47" s="17">
        <v>44512.0</v>
      </c>
    </row>
    <row r="48" ht="15.75" customHeight="1">
      <c r="A48" t="s">
        <v>66</v>
      </c>
      <c r="B48" s="17">
        <v>51082.0</v>
      </c>
      <c r="C48" s="17">
        <v>40672.0</v>
      </c>
    </row>
    <row r="49" ht="15.75" customHeight="1">
      <c r="A49" t="s">
        <v>67</v>
      </c>
      <c r="B49" s="17">
        <v>47373.0</v>
      </c>
      <c r="C49" s="17">
        <v>40338.0</v>
      </c>
    </row>
    <row r="50" ht="15.75" customHeight="1">
      <c r="A50" t="s">
        <v>68</v>
      </c>
      <c r="B50" s="17">
        <v>21879.0</v>
      </c>
      <c r="C50" s="17">
        <v>20926.0</v>
      </c>
    </row>
    <row r="51" ht="15.75" customHeight="1">
      <c r="A51" t="s">
        <v>69</v>
      </c>
      <c r="B51" s="17">
        <v>32695.0</v>
      </c>
      <c r="C51" s="17">
        <v>28739.0</v>
      </c>
    </row>
    <row r="52" ht="15.75" customHeight="1">
      <c r="A52" t="s">
        <v>70</v>
      </c>
      <c r="B52" s="17">
        <v>1316835.0</v>
      </c>
      <c r="C52" s="17">
        <v>606358.0</v>
      </c>
    </row>
    <row r="53" ht="15.75" customHeight="1">
      <c r="A53" t="s">
        <v>71</v>
      </c>
      <c r="B53" s="17">
        <v>169005.0</v>
      </c>
      <c r="C53" s="17">
        <v>176662.0</v>
      </c>
    </row>
    <row r="54" ht="15.75" customHeight="1">
      <c r="A54" t="s">
        <v>72</v>
      </c>
      <c r="B54" s="17">
        <v>140615.0</v>
      </c>
      <c r="C54" s="17">
        <v>114738.0</v>
      </c>
    </row>
    <row r="55" ht="15.75" customHeight="1">
      <c r="A55" t="s">
        <v>73</v>
      </c>
      <c r="B55" s="17">
        <v>888308.0</v>
      </c>
      <c r="C55" s="17">
        <v>888272.0</v>
      </c>
    </row>
    <row r="56" ht="15.75" customHeight="1">
      <c r="A56" t="s">
        <v>74</v>
      </c>
      <c r="B56" s="17">
        <v>1357157.0</v>
      </c>
      <c r="C56" s="17">
        <v>1378720.0</v>
      </c>
    </row>
    <row r="57" ht="15.75" customHeight="1">
      <c r="A57" t="s">
        <v>75</v>
      </c>
      <c r="B57" s="17">
        <v>65464.0</v>
      </c>
      <c r="C57" s="17">
        <v>62632.0</v>
      </c>
    </row>
    <row r="58" ht="15.75" customHeight="1">
      <c r="A58" t="s">
        <v>76</v>
      </c>
      <c r="B58" s="17">
        <v>3937384.0</v>
      </c>
      <c r="C58" s="17">
        <v>3227382.0</v>
      </c>
    </row>
    <row r="59" ht="15.75" customHeight="1">
      <c r="A59" t="s">
        <v>77</v>
      </c>
      <c r="B59" s="15"/>
      <c r="C59" s="15"/>
    </row>
    <row r="60" ht="15.75" customHeight="1">
      <c r="A60" t="s">
        <v>78</v>
      </c>
      <c r="B60" s="17">
        <v>31500.0</v>
      </c>
      <c r="C60" s="17">
        <v>25000.0</v>
      </c>
    </row>
    <row r="61" ht="15.75" customHeight="1">
      <c r="A61" t="s">
        <v>79</v>
      </c>
      <c r="B61" s="15">
        <v>596.0</v>
      </c>
      <c r="C61" s="15">
        <v>589.0</v>
      </c>
    </row>
    <row r="62" ht="15.75" customHeight="1">
      <c r="A62" t="s">
        <v>80</v>
      </c>
      <c r="B62" s="17">
        <v>16307.0</v>
      </c>
      <c r="C62" s="17">
        <v>12682.0</v>
      </c>
    </row>
    <row r="63" ht="15.75" customHeight="1">
      <c r="A63" t="s">
        <v>81</v>
      </c>
      <c r="B63" s="17">
        <v>58014.0</v>
      </c>
      <c r="C63" s="17">
        <v>52271.0</v>
      </c>
    </row>
    <row r="64" ht="15.75" customHeight="1">
      <c r="A64" t="s">
        <v>82</v>
      </c>
      <c r="B64" s="17">
        <v>39395.0</v>
      </c>
      <c r="C64" s="17">
        <v>35393.0</v>
      </c>
    </row>
    <row r="65" ht="15.75" customHeight="1">
      <c r="A65" t="s">
        <v>83</v>
      </c>
      <c r="B65" s="17">
        <v>326078.0</v>
      </c>
      <c r="C65" s="17">
        <v>298266.0</v>
      </c>
    </row>
    <row r="66" ht="15.75" customHeight="1">
      <c r="A66" t="s">
        <v>84</v>
      </c>
      <c r="B66" s="17">
        <v>471890.0</v>
      </c>
      <c r="C66" s="17">
        <v>424201.0</v>
      </c>
    </row>
    <row r="67" ht="15.75" customHeight="1">
      <c r="A67" t="s">
        <v>85</v>
      </c>
      <c r="B67" s="17">
        <v>3035857.0</v>
      </c>
      <c r="C67" s="17">
        <v>2401998.0</v>
      </c>
    </row>
    <row r="68" ht="15.75" customHeight="1">
      <c r="A68" t="s">
        <v>79</v>
      </c>
      <c r="B68" s="17">
        <v>7180.0</v>
      </c>
      <c r="C68" s="17">
        <v>7550.0</v>
      </c>
    </row>
    <row r="69" ht="15.75" customHeight="1">
      <c r="A69" t="s">
        <v>86</v>
      </c>
      <c r="B69" s="17">
        <v>9780.0</v>
      </c>
      <c r="C69" s="17">
        <v>11378.0</v>
      </c>
    </row>
    <row r="70" ht="15.75" customHeight="1">
      <c r="A70" t="s">
        <v>82</v>
      </c>
      <c r="B70" s="17">
        <v>11158.0</v>
      </c>
      <c r="C70" s="17">
        <v>12154.0</v>
      </c>
    </row>
    <row r="71" ht="15.75" customHeight="1">
      <c r="A71" t="s">
        <v>87</v>
      </c>
      <c r="B71" s="17">
        <v>315249.0</v>
      </c>
      <c r="C71" s="17">
        <v>461810.0</v>
      </c>
    </row>
    <row r="72" ht="15.75" customHeight="1">
      <c r="A72" t="s">
        <v>88</v>
      </c>
      <c r="B72" s="17">
        <v>77823.0</v>
      </c>
      <c r="C72" s="17">
        <v>71549.0</v>
      </c>
    </row>
    <row r="73" ht="15.75" customHeight="1">
      <c r="A73" t="s">
        <v>89</v>
      </c>
      <c r="B73" s="17">
        <v>3457047.0</v>
      </c>
      <c r="C73" s="17">
        <v>2966439.0</v>
      </c>
    </row>
    <row r="74" ht="15.75" customHeight="1">
      <c r="A74" t="s">
        <v>90</v>
      </c>
      <c r="B74" s="15"/>
      <c r="C74" s="15"/>
    </row>
    <row r="75" ht="15.75" customHeight="1">
      <c r="A75" t="s">
        <v>91</v>
      </c>
      <c r="B75" s="15"/>
      <c r="C75" s="15"/>
    </row>
    <row r="76" ht="15.75" customHeight="1">
      <c r="A76" t="s">
        <v>92</v>
      </c>
      <c r="B76" s="15">
        <v>0.0</v>
      </c>
      <c r="C76" s="15">
        <v>0.0</v>
      </c>
    </row>
    <row r="77" ht="15.75" customHeight="1">
      <c r="A77" t="s">
        <v>93</v>
      </c>
      <c r="B77" s="15">
        <v>90.0</v>
      </c>
      <c r="C77" s="15">
        <v>91.0</v>
      </c>
    </row>
    <row r="78" ht="15.75" customHeight="1">
      <c r="A78" t="s">
        <v>94</v>
      </c>
      <c r="B78" s="17">
        <v>724114.0</v>
      </c>
      <c r="C78" s="17">
        <v>807492.0</v>
      </c>
    </row>
    <row r="79" ht="15.75" customHeight="1">
      <c r="A79" t="s">
        <v>95</v>
      </c>
      <c r="B79" s="17">
        <v>-1060.0</v>
      </c>
      <c r="C79" s="17">
        <v>-1060.0</v>
      </c>
    </row>
    <row r="80" ht="15.75" customHeight="1">
      <c r="A80" t="s">
        <v>96</v>
      </c>
      <c r="B80" s="17">
        <v>-705007.0</v>
      </c>
      <c r="C80" s="17">
        <v>-945797.0</v>
      </c>
    </row>
    <row r="81" ht="15.75" customHeight="1">
      <c r="A81" t="s">
        <v>97</v>
      </c>
      <c r="B81" s="17">
        <v>-9690.0</v>
      </c>
      <c r="C81" s="17">
        <v>-23984.0</v>
      </c>
    </row>
    <row r="82" ht="15.75" customHeight="1">
      <c r="A82" t="s">
        <v>98</v>
      </c>
      <c r="B82" s="17">
        <v>8447.0</v>
      </c>
      <c r="C82" s="17">
        <v>-163258.0</v>
      </c>
    </row>
    <row r="83" ht="15.75" customHeight="1">
      <c r="A83" t="s">
        <v>99</v>
      </c>
      <c r="B83" s="16">
        <v>3937384.0</v>
      </c>
      <c r="C83" s="16">
        <v>3227382.0</v>
      </c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42:B43"/>
    <mergeCell ref="C42:C4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9.29"/>
    <col customWidth="1" min="2" max="2" width="16.43"/>
    <col customWidth="1" min="3" max="4" width="12.29"/>
    <col customWidth="1" min="5" max="11" width="8.71"/>
  </cols>
  <sheetData>
    <row r="1">
      <c r="A1" s="8" t="s">
        <v>100</v>
      </c>
      <c r="B1" s="8" t="s">
        <v>19</v>
      </c>
    </row>
    <row r="2">
      <c r="A2" s="8" t="s">
        <v>101</v>
      </c>
      <c r="B2" s="8" t="s">
        <v>102</v>
      </c>
      <c r="C2" s="8" t="s">
        <v>103</v>
      </c>
      <c r="D2" s="8" t="s">
        <v>22</v>
      </c>
    </row>
    <row r="3">
      <c r="A3" t="s">
        <v>104</v>
      </c>
      <c r="B3" s="10"/>
      <c r="C3" s="10"/>
      <c r="D3" s="10"/>
    </row>
    <row r="4">
      <c r="A4" t="s">
        <v>105</v>
      </c>
      <c r="B4" s="11">
        <v>4864985.0</v>
      </c>
      <c r="C4" s="11">
        <v>4476412.0</v>
      </c>
      <c r="D4" s="11">
        <v>3904384.0</v>
      </c>
    </row>
    <row r="5">
      <c r="A5" t="s">
        <v>106</v>
      </c>
      <c r="B5" s="10"/>
      <c r="C5" s="10"/>
      <c r="D5" s="10"/>
    </row>
    <row r="6">
      <c r="A6" t="s">
        <v>107</v>
      </c>
      <c r="B6" s="12">
        <v>1600760.0</v>
      </c>
      <c r="C6" s="12">
        <v>1535428.0</v>
      </c>
      <c r="D6" s="12">
        <v>1365580.0</v>
      </c>
    </row>
    <row r="7">
      <c r="A7" t="s">
        <v>108</v>
      </c>
      <c r="B7" s="12">
        <v>1326079.0</v>
      </c>
      <c r="C7" s="12">
        <v>1205992.0</v>
      </c>
      <c r="D7" s="12">
        <v>1105001.0</v>
      </c>
    </row>
    <row r="8">
      <c r="A8" t="s">
        <v>109</v>
      </c>
      <c r="B8" s="12">
        <v>347123.0</v>
      </c>
      <c r="C8" s="12">
        <v>327132.0</v>
      </c>
      <c r="D8" s="12">
        <v>293636.0</v>
      </c>
    </row>
    <row r="9">
      <c r="A9" t="s">
        <v>110</v>
      </c>
      <c r="B9" s="12">
        <v>680031.0</v>
      </c>
      <c r="C9" s="12">
        <v>651644.0</v>
      </c>
      <c r="D9" s="12">
        <v>641953.0</v>
      </c>
    </row>
    <row r="10">
      <c r="A10" t="s">
        <v>111</v>
      </c>
      <c r="B10" s="12">
        <v>375460.0</v>
      </c>
      <c r="C10" s="12">
        <v>296388.0</v>
      </c>
      <c r="D10" s="12">
        <v>276240.0</v>
      </c>
    </row>
    <row r="11">
      <c r="A11" t="s">
        <v>112</v>
      </c>
      <c r="B11" s="12">
        <v>201979.0</v>
      </c>
      <c r="C11" s="12">
        <v>163348.0</v>
      </c>
      <c r="D11" s="12">
        <v>146368.0</v>
      </c>
    </row>
    <row r="12">
      <c r="A12" t="s">
        <v>113</v>
      </c>
      <c r="B12" s="12">
        <v>8546.0</v>
      </c>
      <c r="C12" s="12">
        <v>12341.0</v>
      </c>
      <c r="D12" s="12">
        <v>17162.0</v>
      </c>
    </row>
    <row r="13">
      <c r="A13" t="s">
        <v>114</v>
      </c>
      <c r="B13" s="12">
        <v>66639.0</v>
      </c>
      <c r="C13" s="12">
        <v>13345.0</v>
      </c>
      <c r="D13" s="12">
        <v>23877.0</v>
      </c>
    </row>
    <row r="14">
      <c r="A14" t="s">
        <v>115</v>
      </c>
      <c r="B14" s="12">
        <v>4606617.0</v>
      </c>
      <c r="C14" s="12">
        <v>4205618.0</v>
      </c>
      <c r="D14" s="12">
        <v>3869817.0</v>
      </c>
    </row>
    <row r="15">
      <c r="A15" t="s">
        <v>116</v>
      </c>
      <c r="B15" s="12">
        <v>258368.0</v>
      </c>
      <c r="C15" s="12">
        <v>270794.0</v>
      </c>
      <c r="D15" s="12">
        <v>34567.0</v>
      </c>
    </row>
    <row r="16">
      <c r="A16" t="s">
        <v>117</v>
      </c>
      <c r="B16" s="12">
        <v>10068.0</v>
      </c>
      <c r="C16" s="12">
        <v>4949.0</v>
      </c>
      <c r="D16" s="12">
        <v>4172.0</v>
      </c>
    </row>
    <row r="17">
      <c r="A17" t="s">
        <v>52</v>
      </c>
      <c r="B17" s="12">
        <v>268436.0</v>
      </c>
      <c r="C17" s="12">
        <v>275743.0</v>
      </c>
      <c r="D17" s="12">
        <v>38739.0</v>
      </c>
    </row>
    <row r="18">
      <c r="A18" t="s">
        <v>118</v>
      </c>
      <c r="B18" s="12">
        <v>-91883.0</v>
      </c>
      <c r="C18" s="12">
        <v>-99490.0</v>
      </c>
      <c r="D18" s="12">
        <v>-15801.0</v>
      </c>
    </row>
    <row r="19">
      <c r="A19" t="s">
        <v>119</v>
      </c>
      <c r="B19" s="11">
        <v>176553.0</v>
      </c>
      <c r="C19" s="11">
        <v>176253.0</v>
      </c>
      <c r="D19" s="11">
        <v>22938.0</v>
      </c>
    </row>
    <row r="20">
      <c r="A20" t="s">
        <v>57</v>
      </c>
      <c r="B20" s="10"/>
      <c r="C20" s="10"/>
      <c r="D20" s="10"/>
    </row>
    <row r="21" ht="15.75" customHeight="1">
      <c r="A21" t="s">
        <v>120</v>
      </c>
      <c r="B21" s="13">
        <v>6.35</v>
      </c>
      <c r="C21" s="13">
        <v>6.19</v>
      </c>
      <c r="D21" s="13">
        <v>0.78</v>
      </c>
    </row>
    <row r="22" ht="15.75" customHeight="1">
      <c r="A22" t="s">
        <v>121</v>
      </c>
      <c r="B22" s="13">
        <v>6.31</v>
      </c>
      <c r="C22" s="13">
        <v>6.17</v>
      </c>
      <c r="D22" s="13">
        <v>0.77</v>
      </c>
    </row>
    <row r="23" ht="15.75" customHeight="1">
      <c r="A23" t="s">
        <v>122</v>
      </c>
      <c r="B23" s="10"/>
      <c r="C23" s="10"/>
      <c r="D23" s="10"/>
    </row>
    <row r="24" ht="15.75" customHeight="1">
      <c r="A24" t="s">
        <v>120</v>
      </c>
      <c r="B24" s="12">
        <v>27823.0</v>
      </c>
      <c r="C24" s="12">
        <v>28491.0</v>
      </c>
      <c r="D24" s="12">
        <v>29265.0</v>
      </c>
    </row>
    <row r="25" ht="15.75" customHeight="1">
      <c r="A25" t="s">
        <v>121</v>
      </c>
      <c r="B25" s="12">
        <v>27962.0</v>
      </c>
      <c r="C25" s="12">
        <v>28561.0</v>
      </c>
      <c r="D25" s="12">
        <v>29770.0</v>
      </c>
    </row>
    <row r="26" ht="15.75" customHeight="1"/>
    <row r="27" ht="15.75" customHeight="1"/>
    <row r="28" ht="15.75" customHeight="1"/>
    <row r="29" ht="15.75" customHeight="1"/>
    <row r="30" ht="15.75" customHeight="1">
      <c r="A30" s="14" t="s">
        <v>123</v>
      </c>
      <c r="B30" s="14" t="s">
        <v>102</v>
      </c>
      <c r="C30" s="14" t="s">
        <v>103</v>
      </c>
    </row>
    <row r="31" ht="15.75" customHeight="1">
      <c r="A31" s="14" t="s">
        <v>20</v>
      </c>
    </row>
    <row r="32" ht="15.75" customHeight="1">
      <c r="A32" t="s">
        <v>62</v>
      </c>
      <c r="B32" s="15"/>
      <c r="C32" s="15"/>
    </row>
    <row r="33" ht="15.75" customHeight="1">
      <c r="A33" t="s">
        <v>63</v>
      </c>
      <c r="B33" s="16">
        <v>249953.0</v>
      </c>
      <c r="C33" s="16">
        <v>184569.0</v>
      </c>
    </row>
    <row r="34" ht="15.75" customHeight="1">
      <c r="A34" t="s">
        <v>124</v>
      </c>
      <c r="B34" s="17">
        <v>62312.0</v>
      </c>
      <c r="C34" s="17">
        <v>40453.0</v>
      </c>
    </row>
    <row r="35" ht="15.75" customHeight="1">
      <c r="A35" t="s">
        <v>125</v>
      </c>
      <c r="B35" s="17">
        <v>21555.0</v>
      </c>
      <c r="C35" s="17">
        <v>19860.0</v>
      </c>
    </row>
    <row r="36" ht="15.75" customHeight="1">
      <c r="A36" t="s">
        <v>69</v>
      </c>
      <c r="B36" s="17">
        <v>54129.0</v>
      </c>
      <c r="C36" s="17">
        <v>50918.0</v>
      </c>
    </row>
    <row r="37" ht="15.75" customHeight="1">
      <c r="A37" t="s">
        <v>126</v>
      </c>
      <c r="B37" s="15"/>
      <c r="C37" s="17">
        <v>9353.0</v>
      </c>
    </row>
    <row r="38" ht="15.75" customHeight="1">
      <c r="A38" t="s">
        <v>127</v>
      </c>
      <c r="B38" s="17">
        <v>426845.0</v>
      </c>
      <c r="C38" s="17">
        <v>324382.0</v>
      </c>
    </row>
    <row r="39" ht="15.75" customHeight="1">
      <c r="A39" t="s">
        <v>70</v>
      </c>
      <c r="B39" s="17">
        <v>814794.0</v>
      </c>
      <c r="C39" s="17">
        <v>629535.0</v>
      </c>
    </row>
    <row r="40" ht="15.75" customHeight="1">
      <c r="A40" t="s">
        <v>128</v>
      </c>
      <c r="B40" s="17">
        <v>1379254.0</v>
      </c>
      <c r="C40" s="17">
        <v>1338366.0</v>
      </c>
    </row>
    <row r="41" ht="15.75" customHeight="1">
      <c r="A41" t="s">
        <v>64</v>
      </c>
      <c r="B41" s="17">
        <v>30199.0</v>
      </c>
      <c r="C41" s="17">
        <v>29601.0</v>
      </c>
    </row>
    <row r="42" ht="15.75" customHeight="1">
      <c r="A42" t="s">
        <v>75</v>
      </c>
      <c r="B42" s="17">
        <v>19332.0</v>
      </c>
      <c r="C42" s="17">
        <v>26251.0</v>
      </c>
    </row>
    <row r="43" ht="15.75" customHeight="1">
      <c r="A43" t="s">
        <v>73</v>
      </c>
      <c r="B43" s="17">
        <v>21939.0</v>
      </c>
      <c r="C43" s="17">
        <v>21939.0</v>
      </c>
    </row>
    <row r="44" ht="15.75" customHeight="1">
      <c r="A44" t="s">
        <v>76</v>
      </c>
      <c r="B44" s="17">
        <v>2265518.0</v>
      </c>
      <c r="C44" s="17">
        <v>2045692.0</v>
      </c>
    </row>
    <row r="45" ht="15.75" customHeight="1">
      <c r="A45" t="s">
        <v>77</v>
      </c>
      <c r="B45" s="15"/>
      <c r="C45" s="15"/>
    </row>
    <row r="46" ht="15.75" customHeight="1">
      <c r="A46" t="s">
        <v>80</v>
      </c>
      <c r="B46" s="17">
        <v>113071.0</v>
      </c>
      <c r="C46" s="17">
        <v>82028.0</v>
      </c>
    </row>
    <row r="47" ht="15.75" customHeight="1">
      <c r="A47" t="s">
        <v>129</v>
      </c>
      <c r="B47" s="17">
        <v>113467.0</v>
      </c>
      <c r="C47" s="17">
        <v>82541.0</v>
      </c>
    </row>
    <row r="48" ht="15.75" customHeight="1">
      <c r="A48" t="s">
        <v>130</v>
      </c>
      <c r="B48" s="17">
        <v>147849.0</v>
      </c>
      <c r="C48" s="17">
        <v>95679.0</v>
      </c>
    </row>
    <row r="49" ht="15.75" customHeight="1">
      <c r="A49" t="s">
        <v>131</v>
      </c>
      <c r="B49" s="17">
        <v>70474.0</v>
      </c>
      <c r="C49" s="17">
        <v>63645.0</v>
      </c>
    </row>
    <row r="50" ht="15.75" customHeight="1">
      <c r="A50" t="s">
        <v>132</v>
      </c>
      <c r="B50" s="17">
        <v>5129.0</v>
      </c>
      <c r="C50" s="15"/>
    </row>
    <row r="51" ht="15.75" customHeight="1">
      <c r="A51" t="s">
        <v>84</v>
      </c>
      <c r="B51" s="17">
        <v>449990.0</v>
      </c>
      <c r="C51" s="17">
        <v>323893.0</v>
      </c>
    </row>
    <row r="52" ht="15.75" customHeight="1">
      <c r="A52" t="s">
        <v>133</v>
      </c>
      <c r="B52" s="15"/>
      <c r="C52" s="15"/>
    </row>
    <row r="53" ht="15.75" customHeight="1">
      <c r="A53" t="s">
        <v>134</v>
      </c>
      <c r="B53" s="17">
        <v>330985.0</v>
      </c>
      <c r="C53" s="17">
        <v>316498.0</v>
      </c>
    </row>
    <row r="54" ht="15.75" customHeight="1">
      <c r="A54" t="s">
        <v>135</v>
      </c>
      <c r="B54" s="17">
        <v>11566.0</v>
      </c>
      <c r="C54" s="15">
        <v>814.0</v>
      </c>
    </row>
    <row r="55" ht="15.75" customHeight="1">
      <c r="A55" t="s">
        <v>136</v>
      </c>
      <c r="B55" s="17">
        <v>31638.0</v>
      </c>
      <c r="C55" s="17">
        <v>40042.0</v>
      </c>
    </row>
    <row r="56" ht="15.75" customHeight="1">
      <c r="A56" t="s">
        <v>137</v>
      </c>
      <c r="B56" s="17">
        <v>824179.0</v>
      </c>
      <c r="C56" s="17">
        <v>681247.0</v>
      </c>
    </row>
    <row r="57" ht="15.75" customHeight="1">
      <c r="A57" t="s">
        <v>138</v>
      </c>
      <c r="B57" s="15"/>
      <c r="C57" s="15"/>
    </row>
    <row r="58" ht="15.75" customHeight="1">
      <c r="A58" t="s">
        <v>139</v>
      </c>
      <c r="B58" s="15">
        <v>0.0</v>
      </c>
      <c r="C58" s="15">
        <v>0.0</v>
      </c>
    </row>
    <row r="59" ht="15.75" customHeight="1">
      <c r="A59" t="s">
        <v>140</v>
      </c>
      <c r="B59" s="15">
        <v>360.0</v>
      </c>
      <c r="C59" s="15">
        <v>359.0</v>
      </c>
    </row>
    <row r="60" ht="15.75" customHeight="1">
      <c r="A60" t="s">
        <v>94</v>
      </c>
      <c r="B60" s="17">
        <v>1374154.0</v>
      </c>
      <c r="C60" s="17">
        <v>1305090.0</v>
      </c>
    </row>
    <row r="61" ht="15.75" customHeight="1">
      <c r="A61" t="s">
        <v>141</v>
      </c>
      <c r="B61" s="17">
        <v>-2500556.0</v>
      </c>
      <c r="C61" s="17">
        <v>-2334409.0</v>
      </c>
    </row>
    <row r="62" ht="15.75" customHeight="1">
      <c r="A62" t="s">
        <v>142</v>
      </c>
      <c r="B62" s="17">
        <v>-6236.0</v>
      </c>
      <c r="C62" s="17">
        <v>-3659.0</v>
      </c>
    </row>
    <row r="63" ht="15.75" customHeight="1">
      <c r="A63" t="s">
        <v>143</v>
      </c>
      <c r="B63" s="17">
        <v>2573617.0</v>
      </c>
      <c r="C63" s="17">
        <v>2397064.0</v>
      </c>
    </row>
    <row r="64" ht="15.75" customHeight="1">
      <c r="A64" t="s">
        <v>144</v>
      </c>
      <c r="B64" s="17">
        <v>1441339.0</v>
      </c>
      <c r="C64" s="17">
        <v>1364445.0</v>
      </c>
    </row>
    <row r="65" ht="15.75" customHeight="1">
      <c r="A65" t="s">
        <v>145</v>
      </c>
      <c r="B65" s="16">
        <v>2265518.0</v>
      </c>
      <c r="C65" s="16">
        <v>2045692.0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">
    <mergeCell ref="B1:D1"/>
    <mergeCell ref="B30:B31"/>
    <mergeCell ref="C30:C3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14"/>
    <col customWidth="1" min="2" max="3" width="12.57"/>
    <col customWidth="1" min="4" max="4" width="11.86"/>
    <col customWidth="1" min="5" max="5" width="12.57"/>
    <col customWidth="1" min="6" max="11" width="8.71"/>
  </cols>
  <sheetData>
    <row r="1">
      <c r="A1" s="18" t="s">
        <v>146</v>
      </c>
      <c r="B1" s="19" t="s">
        <v>147</v>
      </c>
      <c r="C1" s="19" t="s">
        <v>147</v>
      </c>
      <c r="D1" s="19" t="s">
        <v>148</v>
      </c>
      <c r="E1" s="19" t="s">
        <v>148</v>
      </c>
    </row>
    <row r="2">
      <c r="A2" s="20" t="s">
        <v>149</v>
      </c>
      <c r="B2" s="21" t="s">
        <v>148</v>
      </c>
      <c r="C2" s="21" t="s">
        <v>147</v>
      </c>
      <c r="D2" s="21" t="s">
        <v>148</v>
      </c>
      <c r="E2" s="21" t="s">
        <v>147</v>
      </c>
    </row>
    <row r="3">
      <c r="A3" s="22" t="s">
        <v>150</v>
      </c>
      <c r="B3" s="23">
        <v>1.0E7</v>
      </c>
      <c r="C3" s="23">
        <v>1.0E7</v>
      </c>
      <c r="D3" s="23">
        <v>1.0E7</v>
      </c>
      <c r="E3" s="23">
        <v>1.0E7</v>
      </c>
    </row>
    <row r="4">
      <c r="A4" s="22" t="s">
        <v>151</v>
      </c>
      <c r="B4" s="23">
        <v>3000000.0</v>
      </c>
      <c r="C4" s="23">
        <v>3000000.0</v>
      </c>
      <c r="D4" s="23">
        <v>5000000.0</v>
      </c>
      <c r="E4" s="23">
        <v>5000000.0</v>
      </c>
    </row>
    <row r="5">
      <c r="A5" s="24" t="s">
        <v>152</v>
      </c>
      <c r="B5" s="25">
        <v>1.3E7</v>
      </c>
      <c r="C5" s="25">
        <v>1.3E7</v>
      </c>
      <c r="D5" s="25">
        <v>1.5E7</v>
      </c>
      <c r="E5" s="25">
        <v>1.5E7</v>
      </c>
    </row>
    <row r="6">
      <c r="A6" s="22" t="s">
        <v>149</v>
      </c>
      <c r="B6" s="23">
        <v>3120000.0</v>
      </c>
      <c r="C6" s="23">
        <v>1040000.0</v>
      </c>
      <c r="D6" s="23">
        <v>3600000.0</v>
      </c>
      <c r="E6" s="23">
        <v>1200000.0</v>
      </c>
    </row>
    <row r="7">
      <c r="A7" s="22" t="s">
        <v>153</v>
      </c>
      <c r="B7" s="23" t="str">
        <f t="shared" ref="B7:E7" si="1">B9-B8-B6</f>
        <v>$2,080,000 </v>
      </c>
      <c r="C7" s="23" t="str">
        <f t="shared" si="1"/>
        <v>$4,160,000 </v>
      </c>
      <c r="D7" s="23" t="str">
        <f t="shared" si="1"/>
        <v>$2,400,000 </v>
      </c>
      <c r="E7" s="23" t="str">
        <f t="shared" si="1"/>
        <v>$4,800,000 </v>
      </c>
    </row>
    <row r="8">
      <c r="A8" s="22" t="s">
        <v>154</v>
      </c>
      <c r="B8" s="23">
        <v>7800000.0</v>
      </c>
      <c r="C8" s="23">
        <v>7800000.0</v>
      </c>
      <c r="D8" s="23">
        <v>9000000.0</v>
      </c>
      <c r="E8" s="23">
        <v>9000000.0</v>
      </c>
    </row>
    <row r="9">
      <c r="A9" s="24" t="s">
        <v>155</v>
      </c>
      <c r="B9" s="25" t="str">
        <f t="shared" ref="B9:E9" si="2">B5</f>
        <v>$13,000,000 </v>
      </c>
      <c r="C9" s="25" t="str">
        <f t="shared" si="2"/>
        <v>$13,000,000 </v>
      </c>
      <c r="D9" s="25" t="str">
        <f t="shared" si="2"/>
        <v>$15,000,000 </v>
      </c>
      <c r="E9" s="25" t="str">
        <f t="shared" si="2"/>
        <v>$15,000,000 </v>
      </c>
    </row>
    <row r="10">
      <c r="A10" s="22" t="s">
        <v>156</v>
      </c>
      <c r="B10" s="23">
        <v>1000000.0</v>
      </c>
      <c r="C10" s="23">
        <v>1000000.0</v>
      </c>
      <c r="D10" s="23">
        <v>1000000.0</v>
      </c>
      <c r="E10" s="23">
        <v>1000000.0</v>
      </c>
    </row>
    <row r="11">
      <c r="A11" s="22" t="s">
        <v>157</v>
      </c>
      <c r="B11" s="23" t="str">
        <f t="shared" ref="B11:E11" si="3">0.05*B6</f>
        <v>$156,000 </v>
      </c>
      <c r="C11" s="23" t="str">
        <f t="shared" si="3"/>
        <v>$52,000 </v>
      </c>
      <c r="D11" s="23" t="str">
        <f t="shared" si="3"/>
        <v>$180,000 </v>
      </c>
      <c r="E11" s="23" t="str">
        <f t="shared" si="3"/>
        <v>$60,000 </v>
      </c>
    </row>
    <row r="12">
      <c r="A12" s="22" t="s">
        <v>158</v>
      </c>
      <c r="B12" s="23" t="str">
        <f t="shared" ref="B12:E12" si="4">0.1*B7</f>
        <v>$208,000 </v>
      </c>
      <c r="C12" s="23" t="str">
        <f t="shared" si="4"/>
        <v>$416,000 </v>
      </c>
      <c r="D12" s="23" t="str">
        <f t="shared" si="4"/>
        <v>$240,000 </v>
      </c>
      <c r="E12" s="23" t="str">
        <f t="shared" si="4"/>
        <v>$480,000 </v>
      </c>
    </row>
    <row r="13">
      <c r="A13" s="26" t="s">
        <v>159</v>
      </c>
      <c r="B13" s="27" t="str">
        <f t="shared" ref="B13:E13" si="5">SUM(B11:B12)</f>
        <v>$364,000 </v>
      </c>
      <c r="C13" s="27" t="str">
        <f t="shared" si="5"/>
        <v>$468,000 </v>
      </c>
      <c r="D13" s="27" t="str">
        <f t="shared" si="5"/>
        <v>$420,000 </v>
      </c>
      <c r="E13" s="27" t="str">
        <f t="shared" si="5"/>
        <v>$540,000 </v>
      </c>
    </row>
    <row r="14">
      <c r="A14" s="22" t="s">
        <v>160</v>
      </c>
      <c r="B14" s="23" t="str">
        <f t="shared" ref="B14:E14" si="6">B10-B13</f>
        <v>$636,000 </v>
      </c>
      <c r="C14" s="23" t="str">
        <f t="shared" si="6"/>
        <v>$532,000 </v>
      </c>
      <c r="D14" s="23" t="str">
        <f t="shared" si="6"/>
        <v>$580,000 </v>
      </c>
      <c r="E14" s="23" t="str">
        <f t="shared" si="6"/>
        <v>$460,000 </v>
      </c>
    </row>
    <row r="15">
      <c r="A15" s="22" t="s">
        <v>161</v>
      </c>
      <c r="B15" s="23" t="str">
        <f t="shared" ref="B15:E15" si="7">0.25*B14</f>
        <v>$159,000 </v>
      </c>
      <c r="C15" s="23" t="str">
        <f t="shared" si="7"/>
        <v>$133,000 </v>
      </c>
      <c r="D15" s="23" t="str">
        <f t="shared" si="7"/>
        <v>$145,000 </v>
      </c>
      <c r="E15" s="23" t="str">
        <f t="shared" si="7"/>
        <v>$115,000 </v>
      </c>
    </row>
    <row r="16">
      <c r="A16" s="26" t="s">
        <v>162</v>
      </c>
      <c r="B16" s="27" t="str">
        <f t="shared" ref="B16:E16" si="8">B14-B15</f>
        <v>$477,000 </v>
      </c>
      <c r="C16" s="27" t="str">
        <f t="shared" si="8"/>
        <v>$399,000 </v>
      </c>
      <c r="D16" s="27" t="str">
        <f t="shared" si="8"/>
        <v>$435,000 </v>
      </c>
      <c r="E16" s="27" t="str">
        <f t="shared" si="8"/>
        <v>$345,000 </v>
      </c>
    </row>
    <row r="17">
      <c r="A17" s="24" t="s">
        <v>163</v>
      </c>
      <c r="B17" s="28" t="str">
        <f t="shared" ref="B17:E17" si="9">B16/B8</f>
        <v>6.12%</v>
      </c>
      <c r="C17" s="28" t="str">
        <f t="shared" si="9"/>
        <v>5.12%</v>
      </c>
      <c r="D17" s="28" t="str">
        <f t="shared" si="9"/>
        <v>4.83%</v>
      </c>
      <c r="E17" s="28" t="str">
        <f t="shared" si="9"/>
        <v>3.83%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57"/>
    <col customWidth="1" min="2" max="2" width="13.43"/>
    <col customWidth="1" min="3" max="8" width="12.57"/>
    <col customWidth="1" min="9" max="11" width="8.71"/>
  </cols>
  <sheetData>
    <row r="1">
      <c r="A1" t="s">
        <v>164</v>
      </c>
      <c r="B1" s="29">
        <v>500000.0</v>
      </c>
    </row>
    <row r="2">
      <c r="A2" s="30" t="s">
        <v>165</v>
      </c>
      <c r="B2" s="31">
        <v>100000.0</v>
      </c>
    </row>
    <row r="3">
      <c r="A3" t="s">
        <v>166</v>
      </c>
      <c r="B3" s="29" t="str">
        <f>SUM(B1:B2)</f>
        <v> $ 600,000.00 </v>
      </c>
    </row>
    <row r="4">
      <c r="A4" s="30" t="s">
        <v>167</v>
      </c>
      <c r="B4" s="31">
        <v>75000.0</v>
      </c>
    </row>
    <row r="5">
      <c r="A5" t="s">
        <v>168</v>
      </c>
      <c r="B5" s="29" t="str">
        <f>(B3-B4)/6</f>
        <v> $ 87,500.00 </v>
      </c>
    </row>
    <row r="6">
      <c r="B6" s="29"/>
    </row>
    <row r="7">
      <c r="A7" s="32" t="s">
        <v>169</v>
      </c>
      <c r="B7" s="31"/>
    </row>
    <row r="8">
      <c r="A8" t="s">
        <v>166</v>
      </c>
      <c r="B8" s="29">
        <v>600000.0</v>
      </c>
    </row>
    <row r="9">
      <c r="A9" t="s">
        <v>170</v>
      </c>
      <c r="B9" s="29">
        <v>40000.0</v>
      </c>
    </row>
    <row r="10">
      <c r="A10" s="30" t="s">
        <v>171</v>
      </c>
      <c r="B10" s="31">
        <v>15000.0</v>
      </c>
    </row>
    <row r="11">
      <c r="A11" t="s">
        <v>172</v>
      </c>
      <c r="B11" s="29" t="str">
        <f>B8+B9-B10</f>
        <v> $ 625,000.00 </v>
      </c>
    </row>
    <row r="12">
      <c r="B12" s="29"/>
    </row>
    <row r="13">
      <c r="B13" s="29"/>
    </row>
    <row r="14">
      <c r="A14" s="33" t="s">
        <v>173</v>
      </c>
      <c r="B14" s="34">
        <v>0.12</v>
      </c>
    </row>
    <row r="15">
      <c r="A15" s="33" t="s">
        <v>174</v>
      </c>
      <c r="B15" s="33">
        <v>0.0</v>
      </c>
      <c r="C15" s="33">
        <v>1.0</v>
      </c>
      <c r="D15" s="33">
        <v>2.0</v>
      </c>
      <c r="E15" s="33">
        <v>3.0</v>
      </c>
      <c r="F15" s="33">
        <v>4.0</v>
      </c>
      <c r="G15" s="33">
        <v>5.0</v>
      </c>
      <c r="H15" s="33">
        <v>6.0</v>
      </c>
    </row>
    <row r="16">
      <c r="A16" s="35" t="s">
        <v>175</v>
      </c>
      <c r="B16" s="35"/>
      <c r="C16" s="36">
        <v>200000.0</v>
      </c>
      <c r="D16" s="36">
        <v>200000.0</v>
      </c>
      <c r="E16" s="36">
        <v>200000.0</v>
      </c>
      <c r="F16" s="36">
        <v>200000.0</v>
      </c>
      <c r="G16" s="36">
        <v>200000.0</v>
      </c>
      <c r="H16" s="36">
        <v>200000.0</v>
      </c>
    </row>
    <row r="17">
      <c r="A17" s="35" t="s">
        <v>176</v>
      </c>
      <c r="B17" s="37"/>
      <c r="C17" s="37" t="str">
        <f t="shared" ref="C17:H17" si="1">C16*3</f>
        <v> $ 600,000 </v>
      </c>
      <c r="D17" s="37" t="str">
        <f t="shared" si="1"/>
        <v> $ 600,000 </v>
      </c>
      <c r="E17" s="37" t="str">
        <f t="shared" si="1"/>
        <v> $ 600,000 </v>
      </c>
      <c r="F17" s="37" t="str">
        <f t="shared" si="1"/>
        <v> $ 600,000 </v>
      </c>
      <c r="G17" s="37" t="str">
        <f t="shared" si="1"/>
        <v> $ 600,000 </v>
      </c>
      <c r="H17" s="37" t="str">
        <f t="shared" si="1"/>
        <v> $ 600,000 </v>
      </c>
    </row>
    <row r="18">
      <c r="A18" s="35" t="s">
        <v>177</v>
      </c>
      <c r="B18" s="37"/>
      <c r="C18" s="37" t="str">
        <f t="shared" ref="C18:H18" si="2">0.3*C17</f>
        <v> $ 180,000 </v>
      </c>
      <c r="D18" s="37" t="str">
        <f t="shared" si="2"/>
        <v> $ 180,000 </v>
      </c>
      <c r="E18" s="37" t="str">
        <f t="shared" si="2"/>
        <v> $ 180,000 </v>
      </c>
      <c r="F18" s="37" t="str">
        <f t="shared" si="2"/>
        <v> $ 180,000 </v>
      </c>
      <c r="G18" s="37" t="str">
        <f t="shared" si="2"/>
        <v> $ 180,000 </v>
      </c>
      <c r="H18" s="37" t="str">
        <f t="shared" si="2"/>
        <v> $ 180,000 </v>
      </c>
    </row>
    <row r="19">
      <c r="A19" s="35" t="s">
        <v>178</v>
      </c>
      <c r="B19" s="37"/>
      <c r="C19" s="37" t="str">
        <f t="shared" ref="C19:H19" si="3">$B$5</f>
        <v> $ 87,500 </v>
      </c>
      <c r="D19" s="37" t="str">
        <f t="shared" si="3"/>
        <v> $ 87,500 </v>
      </c>
      <c r="E19" s="37" t="str">
        <f t="shared" si="3"/>
        <v> $ 87,500 </v>
      </c>
      <c r="F19" s="37" t="str">
        <f t="shared" si="3"/>
        <v> $ 87,500 </v>
      </c>
      <c r="G19" s="37" t="str">
        <f t="shared" si="3"/>
        <v> $ 87,500 </v>
      </c>
      <c r="H19" s="37" t="str">
        <f t="shared" si="3"/>
        <v> $ 87,500 </v>
      </c>
    </row>
    <row r="20">
      <c r="A20" s="35" t="s">
        <v>179</v>
      </c>
      <c r="B20" s="37"/>
      <c r="C20" s="37" t="str">
        <f t="shared" ref="C20:H20" si="4">C18-C19</f>
        <v> $ 92,500 </v>
      </c>
      <c r="D20" s="37" t="str">
        <f t="shared" si="4"/>
        <v> $ 92,500 </v>
      </c>
      <c r="E20" s="37" t="str">
        <f t="shared" si="4"/>
        <v> $ 92,500 </v>
      </c>
      <c r="F20" s="37" t="str">
        <f t="shared" si="4"/>
        <v> $ 92,500 </v>
      </c>
      <c r="G20" s="37" t="str">
        <f t="shared" si="4"/>
        <v> $ 92,500 </v>
      </c>
      <c r="H20" s="37" t="str">
        <f t="shared" si="4"/>
        <v> $ 92,500 </v>
      </c>
    </row>
    <row r="21" ht="15.75" customHeight="1">
      <c r="A21" s="35" t="s">
        <v>180</v>
      </c>
      <c r="B21" s="37"/>
      <c r="C21" s="37" t="str">
        <f t="shared" ref="C21:H21" si="5">0.3*C20</f>
        <v> $ 27,750 </v>
      </c>
      <c r="D21" s="37" t="str">
        <f t="shared" si="5"/>
        <v> $ 27,750 </v>
      </c>
      <c r="E21" s="37" t="str">
        <f t="shared" si="5"/>
        <v> $ 27,750 </v>
      </c>
      <c r="F21" s="37" t="str">
        <f t="shared" si="5"/>
        <v> $ 27,750 </v>
      </c>
      <c r="G21" s="37" t="str">
        <f t="shared" si="5"/>
        <v> $ 27,750 </v>
      </c>
      <c r="H21" s="37" t="str">
        <f t="shared" si="5"/>
        <v> $ 27,750 </v>
      </c>
    </row>
    <row r="22" ht="15.75" customHeight="1">
      <c r="A22" s="35" t="s">
        <v>181</v>
      </c>
      <c r="B22" s="37"/>
      <c r="C22" s="37" t="str">
        <f t="shared" ref="C22:H22" si="6">C20-C21</f>
        <v> $ 64,750 </v>
      </c>
      <c r="D22" s="37" t="str">
        <f t="shared" si="6"/>
        <v> $ 64,750 </v>
      </c>
      <c r="E22" s="37" t="str">
        <f t="shared" si="6"/>
        <v> $ 64,750 </v>
      </c>
      <c r="F22" s="37" t="str">
        <f t="shared" si="6"/>
        <v> $ 64,750 </v>
      </c>
      <c r="G22" s="37" t="str">
        <f t="shared" si="6"/>
        <v> $ 64,750 </v>
      </c>
      <c r="H22" s="37" t="str">
        <f t="shared" si="6"/>
        <v> $ 64,750 </v>
      </c>
    </row>
    <row r="23" ht="15.75" customHeight="1">
      <c r="A23" s="35" t="s">
        <v>182</v>
      </c>
      <c r="B23" s="37"/>
      <c r="C23" s="37" t="str">
        <f t="shared" ref="C23:H23" si="7">C19</f>
        <v> $ 87,500 </v>
      </c>
      <c r="D23" s="37" t="str">
        <f t="shared" si="7"/>
        <v> $ 87,500 </v>
      </c>
      <c r="E23" s="37" t="str">
        <f t="shared" si="7"/>
        <v> $ 87,500 </v>
      </c>
      <c r="F23" s="37" t="str">
        <f t="shared" si="7"/>
        <v> $ 87,500 </v>
      </c>
      <c r="G23" s="37" t="str">
        <f t="shared" si="7"/>
        <v> $ 87,500 </v>
      </c>
      <c r="H23" s="37" t="str">
        <f t="shared" si="7"/>
        <v> $ 87,500 </v>
      </c>
    </row>
    <row r="24" ht="15.75" customHeight="1">
      <c r="A24" s="35" t="s">
        <v>167</v>
      </c>
      <c r="B24" s="37"/>
      <c r="C24" s="37"/>
      <c r="D24" s="37"/>
      <c r="E24" s="37"/>
      <c r="F24" s="37"/>
      <c r="G24" s="37"/>
      <c r="H24" s="37">
        <v>75000.0</v>
      </c>
    </row>
    <row r="25" ht="15.75" customHeight="1">
      <c r="A25" s="35" t="s">
        <v>183</v>
      </c>
      <c r="B25" s="37" t="str">
        <f>-B11</f>
        <v> $ (625,000)</v>
      </c>
      <c r="C25" s="37" t="str">
        <f t="shared" ref="C25:H25" si="8">SUM(C22:C24)</f>
        <v> $ 152,250 </v>
      </c>
      <c r="D25" s="37" t="str">
        <f t="shared" si="8"/>
        <v> $ 152,250 </v>
      </c>
      <c r="E25" s="37" t="str">
        <f t="shared" si="8"/>
        <v> $ 152,250 </v>
      </c>
      <c r="F25" s="37" t="str">
        <f t="shared" si="8"/>
        <v> $ 152,250 </v>
      </c>
      <c r="G25" s="37" t="str">
        <f t="shared" si="8"/>
        <v> $ 152,250 </v>
      </c>
      <c r="H25" s="37" t="str">
        <f t="shared" si="8"/>
        <v> $ 227,250 </v>
      </c>
    </row>
    <row r="26" ht="15.75" customHeight="1">
      <c r="A26" s="35" t="s">
        <v>184</v>
      </c>
      <c r="B26" s="37" t="str">
        <f t="shared" ref="B26:H26" si="9">B25/(1+$B$14)^B15</f>
        <v> $ (625,000)</v>
      </c>
      <c r="C26" s="37" t="str">
        <f t="shared" si="9"/>
        <v> $ 135,938 </v>
      </c>
      <c r="D26" s="37" t="str">
        <f t="shared" si="9"/>
        <v> $ 121,373 </v>
      </c>
      <c r="E26" s="37" t="str">
        <f t="shared" si="9"/>
        <v> $ 108,369 </v>
      </c>
      <c r="F26" s="37" t="str">
        <f t="shared" si="9"/>
        <v> $ 96,758 </v>
      </c>
      <c r="G26" s="37" t="str">
        <f t="shared" si="9"/>
        <v> $ 86,391 </v>
      </c>
      <c r="H26" s="37" t="str">
        <f t="shared" si="9"/>
        <v> $ 115,132 </v>
      </c>
    </row>
    <row r="27" ht="15.75" customHeight="1">
      <c r="A27" s="33" t="s">
        <v>185</v>
      </c>
      <c r="B27" s="38" t="str">
        <f>SUM(B26:H26)</f>
        <v> $ 38,959 </v>
      </c>
      <c r="C27" s="37"/>
      <c r="D27" s="37"/>
      <c r="E27" s="37"/>
      <c r="F27" s="37"/>
      <c r="G27" s="37"/>
      <c r="H27" s="37"/>
    </row>
    <row r="28" ht="15.75" customHeight="1">
      <c r="A28" s="39"/>
      <c r="B28" s="40"/>
    </row>
    <row r="29" ht="15.75" customHeight="1">
      <c r="A29" s="41"/>
      <c r="B29" s="42" t="s">
        <v>186</v>
      </c>
      <c r="C29" s="33" t="s">
        <v>174</v>
      </c>
    </row>
    <row r="30" ht="15.75" customHeight="1">
      <c r="A30" s="33" t="s">
        <v>187</v>
      </c>
      <c r="B30" s="43" t="str">
        <f>48+(B11-SUM(C25:F25))/G25*12</f>
        <v>49.26</v>
      </c>
      <c r="C30" s="43" t="str">
        <f>B30/12</f>
        <v>4.11</v>
      </c>
    </row>
    <row r="31" ht="15.75" customHeight="1">
      <c r="A31" s="33" t="s">
        <v>188</v>
      </c>
      <c r="B31" s="44" t="str">
        <f>IRR(B26:H26)</f>
        <v>1.85%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43"/>
    <col customWidth="1" min="2" max="2" width="14.29"/>
    <col customWidth="1" min="3" max="11" width="8.71"/>
  </cols>
  <sheetData>
    <row r="1">
      <c r="A1" t="s">
        <v>189</v>
      </c>
      <c r="B1" s="45" t="s">
        <v>190</v>
      </c>
    </row>
    <row r="3">
      <c r="A3" t="s">
        <v>191</v>
      </c>
      <c r="B3" s="29">
        <v>7000000.0</v>
      </c>
    </row>
    <row r="4">
      <c r="A4" s="30" t="s">
        <v>192</v>
      </c>
      <c r="B4" s="31" t="str">
        <f>0.02*B3*0.4</f>
        <v> $ 56,000.00 </v>
      </c>
    </row>
    <row r="5">
      <c r="A5" t="s">
        <v>193</v>
      </c>
      <c r="B5" s="29" t="str">
        <f>B3-B4</f>
        <v> $ 6,944,000.00 </v>
      </c>
    </row>
    <row r="6">
      <c r="A6" t="s">
        <v>194</v>
      </c>
      <c r="B6" s="29" t="str">
        <f>0.35*B5</f>
        <v> $ 2,430,400.00 </v>
      </c>
    </row>
    <row r="7">
      <c r="A7" t="s">
        <v>195</v>
      </c>
      <c r="B7" s="29">
        <v>750000.0</v>
      </c>
    </row>
    <row r="8">
      <c r="A8" s="30" t="s">
        <v>196</v>
      </c>
      <c r="B8" s="31" t="str">
        <f>0.1*B3</f>
        <v> $ 700,000.00 </v>
      </c>
    </row>
    <row r="9">
      <c r="A9" t="s">
        <v>197</v>
      </c>
      <c r="B9" s="29" t="str">
        <f>B6-B7-B8</f>
        <v> $ 980,400.00 </v>
      </c>
    </row>
    <row r="10">
      <c r="B10" s="29"/>
    </row>
    <row r="11">
      <c r="A11" t="s">
        <v>198</v>
      </c>
      <c r="B11" s="46">
        <v>60.0</v>
      </c>
    </row>
    <row r="12">
      <c r="B12" s="29"/>
    </row>
    <row r="13">
      <c r="B13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71"/>
    <col customWidth="1" min="2" max="2" width="16.29"/>
    <col customWidth="1" min="3" max="11" width="8.71"/>
  </cols>
  <sheetData>
    <row r="1">
      <c r="A1" t="s">
        <v>199</v>
      </c>
      <c r="B1" s="47">
        <v>3.0E8</v>
      </c>
    </row>
    <row r="2">
      <c r="A2" s="30" t="s">
        <v>200</v>
      </c>
      <c r="B2" s="48">
        <v>3.0E7</v>
      </c>
    </row>
    <row r="3">
      <c r="A3" t="s">
        <v>201</v>
      </c>
      <c r="B3" s="47" t="str">
        <f>B1/B2</f>
        <v> $ 10 </v>
      </c>
    </row>
    <row r="4">
      <c r="A4" s="30" t="s">
        <v>202</v>
      </c>
      <c r="B4" s="49">
        <v>100.0</v>
      </c>
    </row>
    <row r="5">
      <c r="A5" t="s">
        <v>203</v>
      </c>
      <c r="B5" t="str">
        <f>B4/B3</f>
        <v>10</v>
      </c>
    </row>
    <row r="6">
      <c r="A6" t="s">
        <v>204</v>
      </c>
      <c r="B6" s="50">
        <v>0.8</v>
      </c>
    </row>
    <row r="8">
      <c r="A8" t="s">
        <v>205</v>
      </c>
      <c r="B8" s="47" t="str">
        <f>B1</f>
        <v> $ 300,000,000 </v>
      </c>
    </row>
    <row r="9">
      <c r="A9" s="30" t="s">
        <v>206</v>
      </c>
      <c r="B9" s="49" t="str">
        <f>B6*B8</f>
        <v> $ 240,000,000 </v>
      </c>
    </row>
    <row r="10">
      <c r="A10" t="s">
        <v>207</v>
      </c>
      <c r="B10" s="47" t="str">
        <f>SUM(B8:B9)</f>
        <v> $ 540,000,000 </v>
      </c>
    </row>
    <row r="12">
      <c r="A12" s="51" t="s">
        <v>208</v>
      </c>
      <c r="B12" s="52">
        <v>1.5E8</v>
      </c>
    </row>
    <row r="13">
      <c r="A13" s="53" t="s">
        <v>209</v>
      </c>
      <c r="B13" s="54" t="str">
        <f>B1-B12</f>
        <v> $ 150,000,000 </v>
      </c>
    </row>
    <row r="14">
      <c r="A14" s="39" t="s">
        <v>210</v>
      </c>
      <c r="B14" s="55" t="str">
        <f>B13/B2</f>
        <v> $ 5.00 </v>
      </c>
    </row>
    <row r="15">
      <c r="A15" s="56" t="s">
        <v>211</v>
      </c>
      <c r="B15" s="57" t="str">
        <f>B14/B4</f>
        <v>5%</v>
      </c>
    </row>
    <row r="17">
      <c r="A17" s="51" t="s">
        <v>209</v>
      </c>
      <c r="B17" s="52" t="str">
        <f>B1</f>
        <v> $ 300,000,000 </v>
      </c>
    </row>
    <row r="18">
      <c r="A18" s="39" t="s">
        <v>210</v>
      </c>
      <c r="B18" s="55" t="str">
        <f>B17/B2</f>
        <v> $ 10.00 </v>
      </c>
    </row>
    <row r="19">
      <c r="A19" s="56" t="s">
        <v>211</v>
      </c>
      <c r="B19" s="57" t="str">
        <f>B18/B4</f>
        <v>10%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43"/>
    <col customWidth="1" min="2" max="2" width="16.29"/>
    <col customWidth="1" min="3" max="11" width="8.71"/>
  </cols>
  <sheetData>
    <row r="1">
      <c r="A1" t="s">
        <v>212</v>
      </c>
      <c r="B1" s="29">
        <v>6.0E8</v>
      </c>
    </row>
    <row r="2">
      <c r="A2" t="s">
        <v>213</v>
      </c>
      <c r="B2" s="29" t="str">
        <f>B1/365</f>
        <v> $ 1,643,835.62 </v>
      </c>
    </row>
    <row r="3">
      <c r="A3" t="s">
        <v>214</v>
      </c>
      <c r="B3">
        <v>10.0</v>
      </c>
    </row>
    <row r="4">
      <c r="A4" t="s">
        <v>215</v>
      </c>
      <c r="B4">
        <v>4.0</v>
      </c>
    </row>
    <row r="5">
      <c r="A5" t="s">
        <v>216</v>
      </c>
      <c r="B5" s="29">
        <v>3000000.0</v>
      </c>
    </row>
    <row r="6">
      <c r="A6" t="s">
        <v>217</v>
      </c>
      <c r="B6" s="29" t="str">
        <f>B2*B4-B5</f>
        <v> $ 3,575,342.47 </v>
      </c>
    </row>
    <row r="8">
      <c r="A8" t="s">
        <v>218</v>
      </c>
      <c r="B8" s="29">
        <v>300000.0</v>
      </c>
    </row>
    <row r="9">
      <c r="A9" s="30" t="s">
        <v>219</v>
      </c>
      <c r="B9" s="31" t="str">
        <f>0.05%*B1</f>
        <v> $ 300,000.00 </v>
      </c>
    </row>
    <row r="10">
      <c r="A10" t="s">
        <v>220</v>
      </c>
      <c r="B10" s="29" t="str">
        <f>SUM(B8:B9)</f>
        <v> $ 600,000.00 </v>
      </c>
    </row>
    <row r="11">
      <c r="B11" s="29"/>
    </row>
    <row r="12">
      <c r="A12" t="s">
        <v>221</v>
      </c>
      <c r="B12" s="29">
        <v>200000.0</v>
      </c>
    </row>
    <row r="13">
      <c r="A13" s="30" t="s">
        <v>222</v>
      </c>
      <c r="B13" s="31" t="str">
        <f>0.12*B6</f>
        <v> $ 429,041.10 </v>
      </c>
    </row>
    <row r="14">
      <c r="A14" t="s">
        <v>223</v>
      </c>
      <c r="B14" s="29" t="str">
        <f>SUM(B12:B13)</f>
        <v> $ 629,041.10 </v>
      </c>
    </row>
    <row r="16">
      <c r="A16" t="s">
        <v>224</v>
      </c>
      <c r="B16" s="29" t="str">
        <f>B14-B10</f>
        <v> $ 29,041.10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Que2</vt:lpstr>
      <vt:lpstr>DNKN</vt:lpstr>
      <vt:lpstr>CMG</vt:lpstr>
      <vt:lpstr>Que5</vt:lpstr>
      <vt:lpstr>Que6</vt:lpstr>
      <vt:lpstr>Que8</vt:lpstr>
      <vt:lpstr>Que9</vt:lpstr>
      <vt:lpstr>Que10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2019-02-26T16:17:46Z</dcterms:created>
  <dc:creator>nick</dc:creator>
  <cp:lastModifiedBy>nick</cp:lastModifiedBy>
  <dcterms:modified xsi:type="dcterms:W3CDTF">2019-02-27T08:03:42Z</dcterms:modified>
</cp:coreProperties>
</file>